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7425" firstSheet="1" activeTab="2"/>
  </bookViews>
  <sheets>
    <sheet name="tien_so" sheetId="1" state="hidden" r:id="rId1"/>
    <sheet name="Tong_hop" sheetId="2" r:id="rId2"/>
    <sheet name="ngoai gio_I" sheetId="3" r:id="rId3"/>
  </sheets>
  <definedNames>
    <definedName name="_xlnm._FilterDatabase" localSheetId="2" hidden="1">'ngoai gio_I'!$A$7:$N$50</definedName>
    <definedName name="_xlnm._FilterDatabase" localSheetId="1" hidden="1">'Tong_hop'!$B$10:$L$27</definedName>
    <definedName name="CNV">#REF!</definedName>
    <definedName name="ngach">#REF!</definedName>
    <definedName name="pc">#REF!</definedName>
    <definedName name="_xlnm.Print_Area" localSheetId="2">'ngoai gio_I'!$A$1:$N$45</definedName>
    <definedName name="_xlnm.Print_Area" localSheetId="1">'Tong_hop'!$A$1:$L$27</definedName>
    <definedName name="_xlnm.Print_Titles" localSheetId="2">'ngoai gio_I'!$7:$7</definedName>
    <definedName name="_xlnm.Print_Titles" localSheetId="1">'Tong_hop'!$10:$10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<sst xmlns="http://schemas.openxmlformats.org/spreadsheetml/2006/main" count="417" uniqueCount="124">
  <si>
    <t>Nguyễn Thị</t>
  </si>
  <si>
    <t>f_malp</t>
  </si>
  <si>
    <t>LT</t>
  </si>
  <si>
    <t/>
  </si>
  <si>
    <t>GK</t>
  </si>
  <si>
    <t>CB</t>
  </si>
  <si>
    <t>TH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</si>
  <si>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</si>
  <si>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</si>
  <si>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</si>
  <si>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</si>
  <si>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</si>
  <si>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</si>
  <si>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</si>
  <si>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</si>
  <si>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</si>
  <si>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</si>
  <si>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</si>
  <si>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</si>
  <si>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</si>
  <si>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</si>
  <si>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</si>
  <si>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</si>
  <si>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</si>
  <si>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</si>
  <si>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</si>
  <si>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</si>
  <si>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</si>
  <si>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</si>
  <si>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</si>
  <si>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</si>
  <si>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</si>
  <si>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</si>
  <si>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bmay3</t>
  </si>
  <si>
    <t>Tiếng Anh cơ bản</t>
  </si>
  <si>
    <t>0402</t>
  </si>
  <si>
    <t>0703</t>
  </si>
  <si>
    <t>Còn lĩnh
(đồng)</t>
  </si>
  <si>
    <t>Số chi thừa
năm học trước
(đồng)</t>
  </si>
  <si>
    <t>Hóa học</t>
  </si>
  <si>
    <t>SN01033</t>
  </si>
  <si>
    <t>MT01004</t>
  </si>
  <si>
    <t>Tiếng Anh 2</t>
  </si>
  <si>
    <t>Hóa phân tích</t>
  </si>
  <si>
    <t>Lan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</si>
  <si>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</si>
  <si>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</si>
  <si>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</si>
  <si>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</si>
  <si>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</si>
  <si>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</si>
  <si>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</si>
  <si>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</si>
  <si>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</si>
  <si>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</si>
  <si>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</si>
  <si>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</si>
  <si>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</si>
  <si>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</si>
  <si>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Khoa Khoa học xã hội</t>
  </si>
  <si>
    <t>LOP NG</t>
  </si>
  <si>
    <t>TỔNG HỢP THEO KHOA NGOÀI GiỜ</t>
  </si>
  <si>
    <t>BẢNG TỔNG HỢP THANH TOÁN TIỀN GIẢNG DẠY NGOÀI GIỜ (MÃ LOP)</t>
  </si>
  <si>
    <t>HOA01</t>
  </si>
  <si>
    <t>Đoàn Thị Thúy</t>
  </si>
  <si>
    <t>Khoa Tài nguyên và Môi trường</t>
  </si>
  <si>
    <t>0313</t>
  </si>
  <si>
    <t>SN00011</t>
  </si>
  <si>
    <t>Tiếng Anh 0</t>
  </si>
  <si>
    <t>0201</t>
  </si>
  <si>
    <t>0204</t>
  </si>
  <si>
    <t>0305</t>
  </si>
  <si>
    <t>Ái</t>
  </si>
  <si>
    <t>BẢNG CHI TIẾT THANH TOÁN TIỀN GIẢNG DẠY NGOÀI GIỜ (MÃ LOP) HỌC KỲ I NĂM HỌC 2023-2024</t>
  </si>
  <si>
    <t>HỌC KỲ I NĂM HỌC 2023-2024</t>
  </si>
  <si>
    <t>CCN11</t>
  </si>
  <si>
    <t>CLT11</t>
  </si>
  <si>
    <t>RAQ03</t>
  </si>
  <si>
    <t>LOP TG</t>
  </si>
  <si>
    <t>HOA21</t>
  </si>
  <si>
    <t>NLM17</t>
  </si>
  <si>
    <t>ACB05</t>
  </si>
  <si>
    <t>NN015</t>
  </si>
  <si>
    <t>NN010</t>
  </si>
  <si>
    <t>BKT19</t>
  </si>
  <si>
    <t>MKT17</t>
  </si>
  <si>
    <t>Bùi Thế</t>
  </si>
  <si>
    <t>Khuynh</t>
  </si>
  <si>
    <t>Cây công nghiệp</t>
  </si>
  <si>
    <t>Nguyễn Văn</t>
  </si>
  <si>
    <t>Lộc</t>
  </si>
  <si>
    <t>Cây lương thực</t>
  </si>
  <si>
    <t>Vũ Thanh</t>
  </si>
  <si>
    <t>Hải</t>
  </si>
  <si>
    <t>Rau Hoa Quả và Cảnh quan</t>
  </si>
  <si>
    <t>Hiển</t>
  </si>
  <si>
    <t>Lê Thị</t>
  </si>
  <si>
    <t>Xuân</t>
  </si>
  <si>
    <t>Kinh tế chính trị - CNXH khoa học</t>
  </si>
  <si>
    <t>Phạm Xuân</t>
  </si>
  <si>
    <t>Tùng</t>
  </si>
  <si>
    <t>Phạm Hương</t>
  </si>
  <si>
    <t>Trần Thu</t>
  </si>
  <si>
    <t>Trang</t>
  </si>
  <si>
    <t>Tiếng Anh chuyên nghiệp</t>
  </si>
  <si>
    <t>Trần Minh</t>
  </si>
  <si>
    <t>Huệ</t>
  </si>
  <si>
    <t>Kế toán tài chính</t>
  </si>
  <si>
    <t>Nguyễn Trọng</t>
  </si>
  <si>
    <t>Tuynh</t>
  </si>
  <si>
    <t>Marketing</t>
  </si>
  <si>
    <t>NH02019</t>
  </si>
  <si>
    <t>ML01021</t>
  </si>
  <si>
    <t>SN01032</t>
  </si>
  <si>
    <t>KQ03010</t>
  </si>
  <si>
    <t>KQ03332</t>
  </si>
  <si>
    <t>Cây trồng đại cương</t>
  </si>
  <si>
    <t>Kinh tế chính trị Mác - Lênin</t>
  </si>
  <si>
    <t>Tiếng Anh 1</t>
  </si>
  <si>
    <t>Kế toán thuế</t>
  </si>
  <si>
    <t>Marketing quốc tế</t>
  </si>
  <si>
    <t>Khoa Du lịch và NN</t>
  </si>
  <si>
    <r>
      <t xml:space="preserve">(Kèm theo Quyết định số    </t>
    </r>
    <r>
      <rPr>
        <b/>
        <sz val="14"/>
        <rFont val="Times New Roman"/>
        <family val="1"/>
      </rPr>
      <t xml:space="preserve">241 </t>
    </r>
    <r>
      <rPr>
        <sz val="14"/>
        <rFont val="Times New Roman"/>
        <family val="1"/>
      </rPr>
      <t xml:space="preserve">  /QĐ-HVN ngày  16  tháng 01  năm 2024 của Giám đốc Học viện Nông nghiệp Việt Nam)</t>
    </r>
  </si>
  <si>
    <r>
      <t xml:space="preserve">(Kèm theo Quyết định số  </t>
    </r>
    <r>
      <rPr>
        <b/>
        <sz val="14"/>
        <rFont val="Times New Roman"/>
        <family val="1"/>
      </rPr>
      <t xml:space="preserve"> 241</t>
    </r>
    <r>
      <rPr>
        <sz val="14"/>
        <rFont val="Times New Roman"/>
        <family val="1"/>
      </rPr>
      <t xml:space="preserve">     /QĐ-HVN ngày   16   tháng 01  năm 2024 của Giám đốc Học viện Nông nghiệp Việt Nam)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</si>
</sst>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</numFmts>
  <fonts count="39">
    <font>
      <sz val="12"/>
      <name val="Times New Roman"/>
      <family val="0"/>
    </font>
    <font>
      <sz val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8" fillId="20" borderId="8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181" fontId="32" fillId="0" borderId="0" xfId="42" applyNumberFormat="1" applyFont="1" applyFill="1" applyAlignment="1" applyProtection="1">
      <alignment vertic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6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4" fillId="0" borderId="0" xfId="61" applyFont="1" applyFill="1" applyAlignment="1" applyProtection="1">
      <alignment horizontal="center" vertical="center" wrapText="1"/>
      <protection hidden="1"/>
    </xf>
    <xf numFmtId="0" fontId="5" fillId="0" borderId="0" xfId="60" applyFont="1" applyFill="1" applyProtection="1">
      <alignment/>
      <protection hidden="1"/>
    </xf>
    <xf numFmtId="0" fontId="35" fillId="0" borderId="0" xfId="60" applyFont="1" applyFill="1" applyProtection="1">
      <alignment/>
      <protection hidden="1"/>
    </xf>
    <xf numFmtId="0" fontId="9" fillId="0" borderId="0" xfId="61" applyFont="1" applyFill="1" applyAlignment="1" applyProtection="1">
      <alignment vertical="center"/>
      <protection hidden="1"/>
    </xf>
    <xf numFmtId="0" fontId="36" fillId="0" borderId="0" xfId="61" applyFont="1" applyFill="1" applyAlignment="1" applyProtection="1">
      <alignment horizontal="center" vertical="center"/>
      <protection hidden="1"/>
    </xf>
    <xf numFmtId="0" fontId="35" fillId="0" borderId="0" xfId="59" applyFont="1" applyFill="1" applyAlignment="1" applyProtection="1">
      <alignment horizontal="center"/>
      <protection hidden="1"/>
    </xf>
    <xf numFmtId="0" fontId="35" fillId="0" borderId="0" xfId="60" applyFont="1" applyFill="1" applyAlignment="1" applyProtection="1">
      <alignment horizontal="center"/>
      <protection hidden="1"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 wrapText="1"/>
      <protection/>
    </xf>
    <xf numFmtId="1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2" fontId="5" fillId="0" borderId="0" xfId="58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4" fontId="3" fillId="0" borderId="11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7" fontId="6" fillId="0" borderId="15" xfId="42" applyNumberFormat="1" applyFont="1" applyFill="1" applyBorder="1" applyAlignment="1">
      <alignment horizontal="center" vertical="center"/>
    </xf>
    <xf numFmtId="181" fontId="6" fillId="0" borderId="15" xfId="42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5" fillId="0" borderId="15" xfId="42" applyNumberFormat="1" applyFont="1" applyFill="1" applyBorder="1" applyAlignment="1">
      <alignment horizontal="center" vertical="center"/>
    </xf>
    <xf numFmtId="181" fontId="5" fillId="0" borderId="15" xfId="42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164" fontId="6" fillId="24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3" sqref="B13"/>
    </sheetView>
  </sheetViews>
  <sheetFormatPr defaultColWidth="9.00390625" defaultRowHeight="15.75"/>
  <cols>
    <col min="1" max="1" width="9.00390625" style="13" customWidth="1"/>
    <col min="2" max="2" width="16.875" style="14" bestFit="1" customWidth="1"/>
    <col min="3" max="3" width="9.00390625" style="14" customWidth="1"/>
    <col min="4" max="4" width="9.00390625" style="13" customWidth="1"/>
    <col min="5" max="9" width="9.00390625" style="14" customWidth="1"/>
    <col min="10" max="12" width="9.00390625" style="13" customWidth="1"/>
    <col min="13" max="13" width="9.00390625" style="15" customWidth="1"/>
    <col min="14" max="18" width="9.00390625" style="13" customWidth="1"/>
    <col min="19" max="31" width="9.00390625" style="14" customWidth="1"/>
    <col min="32" max="32" width="9.00390625" style="16" customWidth="1"/>
    <col min="33" max="49" width="9.00390625" style="14" customWidth="1"/>
    <col min="50" max="51" width="9.00390625" style="13" customWidth="1"/>
    <col min="52" max="53" width="9.00390625" style="17" customWidth="1"/>
    <col min="54" max="54" width="9.00390625" style="13" customWidth="1"/>
    <col min="55" max="55" width="9.00390625" style="17" customWidth="1"/>
    <col min="56" max="60" width="9.00390625" style="13" customWidth="1"/>
    <col min="61" max="62" width="9.00390625" style="18" customWidth="1"/>
    <col min="63" max="84" width="9.00390625" style="13" customWidth="1"/>
    <col min="85" max="85" width="9.00390625" style="18" customWidth="1"/>
    <col min="86" max="87" width="9.00390625" style="13" customWidth="1"/>
    <col min="88" max="88" width="9.00390625" style="18" customWidth="1"/>
    <col min="89" max="89" width="9.00390625" style="13" customWidth="1"/>
    <col min="90" max="16384" width="9.00390625" style="14" customWidth="1"/>
  </cols>
  <sheetData>
    <row r="1" spans="2:15" s="5" customFormat="1" ht="16.5">
      <c r="B1" s="2">
        <f>'ngoai gio_I'!J41</f>
        <v>28333500</v>
      </c>
      <c r="C1" s="3" t="str">
        <f>RIGHT("000000000000"&amp;ROUND(B1,0),12)</f>
        <v>000028333500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23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0</v>
      </c>
      <c r="H2" s="8">
        <f>VALUE(MID(C1,H1,1))</f>
        <v>2</v>
      </c>
      <c r="I2" s="8">
        <f>VALUE(MID(C1,I1,1))</f>
        <v>8</v>
      </c>
      <c r="J2" s="8">
        <f>VALUE(MID(C1,J1,1))</f>
        <v>3</v>
      </c>
      <c r="K2" s="8">
        <f>VALUE(MID(C1,K1,1))</f>
        <v>3</v>
      </c>
      <c r="L2" s="8">
        <f>VALUE(MID(C1,L1,1))</f>
        <v>3</v>
      </c>
      <c r="M2" s="8">
        <f>VALUE(MID(C1,M1,1))</f>
        <v>5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0</v>
      </c>
      <c r="H3" s="8">
        <f>SUM(G2:H2)</f>
        <v>2</v>
      </c>
      <c r="I3" s="8">
        <f>SUM(G2:I2)</f>
        <v>10</v>
      </c>
      <c r="J3" s="8">
        <f>SUM(J2:J2)</f>
        <v>3</v>
      </c>
      <c r="K3" s="8">
        <f>SUM(J2:K2)</f>
        <v>6</v>
      </c>
      <c r="L3" s="8">
        <f>SUM(J2:L2)</f>
        <v>9</v>
      </c>
      <c r="M3" s="8">
        <f>SUM(M2:M2)</f>
        <v>5</v>
      </c>
      <c r="N3" s="8">
        <f>SUM(M2:N2)</f>
        <v>5</v>
      </c>
      <c r="O3" s="8">
        <f>SUM(M2:O2)</f>
        <v>5</v>
      </c>
    </row>
    <row r="4" spans="2:15" s="5" customFormat="1" ht="16.5">
      <c r="B4" s="10"/>
      <c r="C4" s="7"/>
      <c r="D4" s="11">
        <f>IF(D2=0,"",CHOOSE(D2,"một","hai","ba","bốn","năm","sáu","bảy","tám","chín"))</f>
      </c>
      <c r="E4" s="11">
        <f>IF(E2=0,IF(AND(D2&lt;&gt;0,F2&lt;&gt;0),"lẻ",""),CHOOSE(E2,"mười ","hai","ba","bốn","năm","sáu","bảy","tám","chín"))</f>
      </c>
      <c r="F4" s="11">
        <f>IF(F2=0,"",CHOOSE(F2,IF(E2&gt;1,"mốt","một"),"hai","ba","bốn",IF(E2=0,"năm","lăm"),"sáu","bảy","tám","chín"))</f>
      </c>
      <c r="G4" s="11">
        <f>IF(G2=0,"",CHOOSE(G2,"một","hai","ba","bốn","năm","sáu","bảy","tám","chín"))</f>
      </c>
      <c r="H4" s="11" t="str">
        <f>IF(H2=0,IF(AND(G2&lt;&gt;0,I2&lt;&gt;0),"lẻ",""),CHOOSE(H2,"mười","hai","ba","bốn","năm","sáu","bảy","tám","chín"))</f>
        <v>hai</v>
      </c>
      <c r="I4" s="11" t="str">
        <f>IF(I2=0,"",CHOOSE(I2,IF(H2&gt;1,"mốt","một"),"hai","ba","bốn",IF(H2=0,"năm","lăm"),"sáu","bảy","tám","chín"))</f>
        <v>tám</v>
      </c>
      <c r="J4" s="11" t="str">
        <f>IF(J2=0,"",CHOOSE(J2,"một","hai","ba","bốn","năm","sáu","bảy","tám","chín"))</f>
        <v>ba</v>
      </c>
      <c r="K4" s="11" t="str">
        <f>IF(K2=0,IF(AND(J2&lt;&gt;0,L2&lt;&gt;0),"lẻ",""),CHOOSE(K2,"mười","hai","ba","bốn","năm","sáu","bảy","tám","chín"))</f>
        <v>ba</v>
      </c>
      <c r="L4" s="11" t="str">
        <f>IF(L2=0,"",CHOOSE(L2,IF(K2&gt;1,"mốt","một"),"hai","ba","bốn",IF(K2=0,"năm","lăm"),"sáu","bảy","tám","chín"))</f>
        <v>ba</v>
      </c>
      <c r="M4" s="8" t="str">
        <f>IF(M2=0,"",CHOOSE(M2,"một","hai","ba","bốn","năm","sáu","bảy","tám","chín"))</f>
        <v>năm</v>
      </c>
      <c r="N4" s="12">
        <f>IF(N2=0,IF(AND(M2&lt;&gt;0,O2&lt;&gt;0),"lẻ",""),CHOOSE(N2,"một","hai","ba","bốn","năm","sáu","bảy","tám","chín"))</f>
      </c>
      <c r="O4" s="12">
        <f>IF(O2=0,"",CHOOSE(O2,IF(N2&gt;1,"một","một"),"hai","ba","bốn",IF(N2=0,"năm","lăm"),"sáu","bảy","tám","chín"))</f>
      </c>
    </row>
    <row r="5" spans="2:15" s="5" customFormat="1" ht="16.5">
      <c r="B5" s="9"/>
      <c r="C5" s="7"/>
      <c r="D5" s="12">
        <f>IF(D2=0,"","trăm")</f>
      </c>
      <c r="E5" s="12">
        <f>IF(E2=0,"",IF(E2=1,"","mươi"))</f>
      </c>
      <c r="F5" s="12">
        <f>IF(AND(F2=0,F3=0),"","tỷ")</f>
      </c>
      <c r="G5" s="12">
        <f>IF(G2=0,"","trăm")</f>
      </c>
      <c r="H5" s="12" t="str">
        <f>IF(H2=0,"",IF(H2=1,"","mươi"))</f>
        <v>mươi</v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>trăm</v>
      </c>
      <c r="N5" s="12">
        <f>IF(N2=0,"",IF(N2=1,"","mươi"))</f>
      </c>
      <c r="O5" s="12" t="s">
        <v>24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mươi tám triệu ba trăm ba mươi ba ngàn năm trăm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Tong_hop!F25</f>
        <v>28333500</v>
      </c>
      <c r="C8" s="3" t="str">
        <f>RIGHT("000000000000"&amp;ROUND(B8,0),12)</f>
        <v>000028333500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23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0</v>
      </c>
      <c r="H9" s="8">
        <f>VALUE(MID(C8,H8,1))</f>
        <v>2</v>
      </c>
      <c r="I9" s="8">
        <f>VALUE(MID(C8,I8,1))</f>
        <v>8</v>
      </c>
      <c r="J9" s="8">
        <f>VALUE(MID(C8,J8,1))</f>
        <v>3</v>
      </c>
      <c r="K9" s="8">
        <f>VALUE(MID(C8,K8,1))</f>
        <v>3</v>
      </c>
      <c r="L9" s="8">
        <f>VALUE(MID(C8,L8,1))</f>
        <v>3</v>
      </c>
      <c r="M9" s="8">
        <f>VALUE(MID(C8,M8,1))</f>
        <v>5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0</v>
      </c>
      <c r="H10" s="8">
        <f>SUM(G9:H9)</f>
        <v>2</v>
      </c>
      <c r="I10" s="8">
        <f>SUM(G9:I9)</f>
        <v>10</v>
      </c>
      <c r="J10" s="8">
        <f>SUM(J9:J9)</f>
        <v>3</v>
      </c>
      <c r="K10" s="8">
        <f>SUM(J9:K9)</f>
        <v>6</v>
      </c>
      <c r="L10" s="8">
        <f>SUM(J9:L9)</f>
        <v>9</v>
      </c>
      <c r="M10" s="8">
        <f>SUM(M9:M9)</f>
        <v>5</v>
      </c>
      <c r="N10" s="8">
        <f>SUM(M9:N9)</f>
        <v>5</v>
      </c>
      <c r="O10" s="8">
        <f>SUM(M9:O9)</f>
        <v>5</v>
      </c>
    </row>
    <row r="11" spans="2:15" s="5" customFormat="1" ht="16.5">
      <c r="B11" s="10"/>
      <c r="C11" s="7"/>
      <c r="D11" s="11">
        <f>IF(D9=0,"",CHOOSE(D9,"một","hai","ba","bốn","năm","sáu","bảy","tám","chín"))</f>
      </c>
      <c r="E11" s="11">
        <f>IF(E9=0,IF(AND(D9&lt;&gt;0,F9&lt;&gt;0),"lẻ",""),CHOOSE(E9,"mười ","hai","ba","bốn","năm","sáu","bảy","tám","chín"))</f>
      </c>
      <c r="F11" s="11">
        <f>IF(F9=0,"",CHOOSE(F9,IF(E9&gt;1,"mốt","một"),"hai","ba","bốn",IF(E9=0,"năm","lăm"),"sáu","bảy","tám","chín"))</f>
      </c>
      <c r="G11" s="11">
        <f>IF(G9=0,"",CHOOSE(G9,"một","hai","ba","bốn","năm","sáu","bảy","tám","chín"))</f>
      </c>
      <c r="H11" s="11" t="str">
        <f>IF(H9=0,IF(AND(G9&lt;&gt;0,I9&lt;&gt;0),"lẻ",""),CHOOSE(H9,"mười","hai","ba","bốn","năm","sáu","bảy","tám","chín"))</f>
        <v>hai</v>
      </c>
      <c r="I11" s="11" t="str">
        <f>IF(I9=0,"",CHOOSE(I9,IF(H9&gt;1,"mốt","một"),"hai","ba","bốn",IF(H9=0,"năm","lăm"),"sáu","bảy","tám","chín"))</f>
        <v>tám</v>
      </c>
      <c r="J11" s="11" t="str">
        <f>IF(J9=0,"",CHOOSE(J9,"một","hai","ba","bốn","năm","sáu","bảy","tám","chín"))</f>
        <v>ba</v>
      </c>
      <c r="K11" s="11" t="str">
        <f>IF(K9=0,IF(AND(J9&lt;&gt;0,L9&lt;&gt;0),"lẻ",""),CHOOSE(K9,"mười","hai","ba","bốn","năm","sáu","bảy","tám","chín"))</f>
        <v>ba</v>
      </c>
      <c r="L11" s="11" t="str">
        <f>IF(L9=0,"",CHOOSE(L9,IF(K9&gt;1,"mốt","một"),"hai","ba","bốn",IF(K9=0,"năm","lăm"),"sáu","bảy","tám","chín"))</f>
        <v>ba</v>
      </c>
      <c r="M11" s="8" t="str">
        <f>IF(M9=0,"",CHOOSE(M9,"một","hai","ba","bốn","năm","sáu","bảy","tám","chín"))</f>
        <v>năm</v>
      </c>
      <c r="N11" s="12">
        <f>IF(N9=0,IF(AND(M9&lt;&gt;0,O9&lt;&gt;0),"lẻ",""),CHOOSE(N9,"một","hai","ba","bốn","năm","sáu","bảy","tám","chín"))</f>
      </c>
      <c r="O11" s="12">
        <f>IF(O9=0,"",CHOOSE(O9,IF(N9&gt;1,"một","một"),"hai","ba","bốn",IF(N9=0,"năm","lăm"),"sáu","bảy","tám","chín"))</f>
      </c>
    </row>
    <row r="12" spans="2:15" s="5" customFormat="1" ht="16.5">
      <c r="B12" s="9"/>
      <c r="C12" s="7"/>
      <c r="D12" s="12">
        <f>IF(D9=0,"","trăm")</f>
      </c>
      <c r="E12" s="12">
        <f>IF(E9=0,"",IF(E9=1,"","mươi"))</f>
      </c>
      <c r="F12" s="12">
        <f>IF(AND(F9=0,F10=0),"","tỷ")</f>
      </c>
      <c r="G12" s="12">
        <f>IF(G9=0,"","trăm")</f>
      </c>
      <c r="H12" s="12" t="str">
        <f>IF(H9=0,"",IF(H9=1,"","mươi"))</f>
        <v>mươi</v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 t="str">
        <f>IF(M9=0,"","trăm")</f>
        <v>trăm</v>
      </c>
      <c r="N12" s="12">
        <f>IF(N9=0,"",IF(N9=1,"","mươi"))</f>
      </c>
      <c r="O12" s="12" t="s">
        <v>24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mươi tám triệu ba trăm ba mươi ba ngàn năm trăm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23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24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23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24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Zero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0" sqref="A10:L10"/>
    </sheetView>
  </sheetViews>
  <sheetFormatPr defaultColWidth="9.00390625" defaultRowHeight="15.75"/>
  <cols>
    <col min="1" max="1" width="4.375" style="44" bestFit="1" customWidth="1"/>
    <col min="2" max="2" width="7.625" style="45" customWidth="1"/>
    <col min="3" max="3" width="16.00390625" style="44" customWidth="1"/>
    <col min="4" max="4" width="8.125" style="44" bestFit="1" customWidth="1"/>
    <col min="5" max="5" width="4.75390625" style="45" customWidth="1"/>
    <col min="6" max="6" width="31.75390625" style="44" bestFit="1" customWidth="1"/>
    <col min="7" max="7" width="10.125" style="44" bestFit="1" customWidth="1"/>
    <col min="8" max="8" width="8.25390625" style="44" customWidth="1"/>
    <col min="9" max="9" width="13.625" style="44" bestFit="1" customWidth="1"/>
    <col min="10" max="10" width="12.50390625" style="44" customWidth="1"/>
    <col min="11" max="11" width="12.125" style="44" bestFit="1" customWidth="1"/>
    <col min="12" max="12" width="9.00390625" style="44" customWidth="1"/>
    <col min="13" max="13" width="0" style="44" hidden="1" customWidth="1"/>
    <col min="14" max="16384" width="9.00390625" style="44" customWidth="1"/>
  </cols>
  <sheetData>
    <row r="1" spans="1:5" s="42" customFormat="1" ht="16.5">
      <c r="A1" s="96" t="s">
        <v>19</v>
      </c>
      <c r="B1" s="96"/>
      <c r="C1" s="96"/>
      <c r="D1" s="96"/>
      <c r="E1" s="96"/>
    </row>
    <row r="2" spans="1:5" s="42" customFormat="1" ht="16.5">
      <c r="A2" s="97" t="s">
        <v>20</v>
      </c>
      <c r="B2" s="97"/>
      <c r="C2" s="97"/>
      <c r="D2" s="97"/>
      <c r="E2" s="97"/>
    </row>
    <row r="3" spans="2:5" s="42" customFormat="1" ht="16.5">
      <c r="B3" s="41"/>
      <c r="E3" s="41"/>
    </row>
    <row r="4" spans="1:12" s="43" customFormat="1" ht="21.75" customHeight="1">
      <c r="A4" s="98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43" customFormat="1" ht="21.75" customHeight="1">
      <c r="A5" s="98" t="s">
        <v>74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42" customFormat="1" ht="21.75" customHeight="1">
      <c r="A6" s="99" t="s">
        <v>122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s="42" customFormat="1" ht="21.75" customHeight="1" hidden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42" customFormat="1" ht="21.75" customHeight="1" hidden="1">
      <c r="A8" s="88"/>
      <c r="B8" s="88">
        <v>1</v>
      </c>
      <c r="C8" s="88">
        <f>+B8+1</f>
        <v>2</v>
      </c>
      <c r="D8" s="88">
        <f aca="true" t="shared" si="0" ref="D8:L8">+C8+1</f>
        <v>3</v>
      </c>
      <c r="E8" s="88">
        <f t="shared" si="0"/>
        <v>4</v>
      </c>
      <c r="F8" s="88">
        <f t="shared" si="0"/>
        <v>5</v>
      </c>
      <c r="G8" s="88">
        <f t="shared" si="0"/>
        <v>6</v>
      </c>
      <c r="H8" s="88">
        <f t="shared" si="0"/>
        <v>7</v>
      </c>
      <c r="I8" s="88">
        <f t="shared" si="0"/>
        <v>8</v>
      </c>
      <c r="J8" s="88">
        <f t="shared" si="0"/>
        <v>9</v>
      </c>
      <c r="K8" s="88">
        <f t="shared" si="0"/>
        <v>10</v>
      </c>
      <c r="L8" s="88">
        <f t="shared" si="0"/>
        <v>11</v>
      </c>
    </row>
    <row r="10" spans="1:13" s="47" customFormat="1" ht="42.75">
      <c r="A10" s="108" t="s">
        <v>13</v>
      </c>
      <c r="B10" s="109" t="s">
        <v>32</v>
      </c>
      <c r="C10" s="110" t="s">
        <v>8</v>
      </c>
      <c r="D10" s="111" t="s">
        <v>9</v>
      </c>
      <c r="E10" s="109" t="s">
        <v>29</v>
      </c>
      <c r="F10" s="108" t="s">
        <v>12</v>
      </c>
      <c r="G10" s="109" t="s">
        <v>30</v>
      </c>
      <c r="H10" s="109" t="s">
        <v>15</v>
      </c>
      <c r="I10" s="109" t="s">
        <v>31</v>
      </c>
      <c r="J10" s="109" t="s">
        <v>38</v>
      </c>
      <c r="K10" s="109" t="s">
        <v>37</v>
      </c>
      <c r="L10" s="109" t="s">
        <v>17</v>
      </c>
      <c r="M10" s="47" t="s">
        <v>33</v>
      </c>
    </row>
    <row r="11" spans="1:14" ht="25.5" customHeight="1">
      <c r="A11" s="76">
        <v>1</v>
      </c>
      <c r="B11" s="76" t="s">
        <v>75</v>
      </c>
      <c r="C11" s="84" t="s">
        <v>86</v>
      </c>
      <c r="D11" s="85" t="s">
        <v>87</v>
      </c>
      <c r="E11" s="76">
        <v>1</v>
      </c>
      <c r="F11" s="77" t="s">
        <v>88</v>
      </c>
      <c r="G11" s="81">
        <f>SUMIF('ngoai gio_I'!$B$8:$B$40,Tong_hop!B11,'ngoai gio_I'!$H$8:$H$40)</f>
        <v>23.6</v>
      </c>
      <c r="H11" s="82">
        <v>65000</v>
      </c>
      <c r="I11" s="83">
        <f>SUMIF('ngoai gio_I'!$B$8:$B$40,Tong_hop!B11,'ngoai gio_I'!$J$8:$J$40)</f>
        <v>1534000</v>
      </c>
      <c r="J11" s="83"/>
      <c r="K11" s="83">
        <f>I11-J11</f>
        <v>1534000</v>
      </c>
      <c r="L11" s="77"/>
      <c r="M11" s="44" t="s">
        <v>69</v>
      </c>
      <c r="N11" s="50">
        <f aca="true" t="shared" si="1" ref="N11:N21">(G11*H11)-I11</f>
        <v>0</v>
      </c>
    </row>
    <row r="12" spans="1:14" ht="25.5" customHeight="1">
      <c r="A12" s="51">
        <f>A11+1</f>
        <v>2</v>
      </c>
      <c r="B12" s="51" t="s">
        <v>76</v>
      </c>
      <c r="C12" s="86" t="s">
        <v>89</v>
      </c>
      <c r="D12" s="87" t="s">
        <v>90</v>
      </c>
      <c r="E12" s="51">
        <v>1</v>
      </c>
      <c r="F12" s="52" t="s">
        <v>91</v>
      </c>
      <c r="G12" s="81">
        <f>SUMIF('ngoai gio_I'!$B$8:$B$40,Tong_hop!B12,'ngoai gio_I'!$H$8:$H$40)</f>
        <v>27</v>
      </c>
      <c r="H12" s="82">
        <v>65000</v>
      </c>
      <c r="I12" s="83">
        <f>SUMIF('ngoai gio_I'!$B$8:$B$40,Tong_hop!B12,'ngoai gio_I'!$J$8:$J$40)</f>
        <v>1755000</v>
      </c>
      <c r="J12" s="83"/>
      <c r="K12" s="83">
        <f>I12-J12</f>
        <v>1755000</v>
      </c>
      <c r="L12" s="52"/>
      <c r="M12" s="44" t="s">
        <v>69</v>
      </c>
      <c r="N12" s="50">
        <f t="shared" si="1"/>
        <v>0</v>
      </c>
    </row>
    <row r="13" spans="1:14" ht="25.5" customHeight="1">
      <c r="A13" s="51">
        <f aca="true" t="shared" si="2" ref="A13:A21">A12+1</f>
        <v>3</v>
      </c>
      <c r="B13" s="51" t="s">
        <v>77</v>
      </c>
      <c r="C13" s="86" t="s">
        <v>92</v>
      </c>
      <c r="D13" s="87" t="s">
        <v>93</v>
      </c>
      <c r="E13" s="51">
        <v>1</v>
      </c>
      <c r="F13" s="52" t="s">
        <v>94</v>
      </c>
      <c r="G13" s="81">
        <f>SUMIF('ngoai gio_I'!$B$8:$B$40,Tong_hop!B13,'ngoai gio_I'!$H$8:$H$40)</f>
        <v>18</v>
      </c>
      <c r="H13" s="82">
        <v>65000</v>
      </c>
      <c r="I13" s="83">
        <f>SUMIF('ngoai gio_I'!$B$8:$B$40,Tong_hop!B13,'ngoai gio_I'!$J$8:$J$40)</f>
        <v>1170000</v>
      </c>
      <c r="J13" s="83"/>
      <c r="K13" s="83">
        <f>I13-J13</f>
        <v>1170000</v>
      </c>
      <c r="L13" s="52"/>
      <c r="M13" s="44" t="s">
        <v>70</v>
      </c>
      <c r="N13" s="50">
        <f t="shared" si="1"/>
        <v>0</v>
      </c>
    </row>
    <row r="14" spans="1:14" ht="25.5" customHeight="1">
      <c r="A14" s="51">
        <f t="shared" si="2"/>
        <v>4</v>
      </c>
      <c r="B14" s="51" t="s">
        <v>63</v>
      </c>
      <c r="C14" s="86" t="s">
        <v>64</v>
      </c>
      <c r="D14" s="87" t="s">
        <v>72</v>
      </c>
      <c r="E14" s="51">
        <v>3</v>
      </c>
      <c r="F14" s="52" t="s">
        <v>39</v>
      </c>
      <c r="G14" s="81">
        <f>SUMIF('ngoai gio_I'!$B$8:$B$40,Tong_hop!B14,'ngoai gio_I'!$H$8:$H$40)</f>
        <v>22.5</v>
      </c>
      <c r="H14" s="82">
        <v>65000</v>
      </c>
      <c r="I14" s="83">
        <f>SUMIF('ngoai gio_I'!$B$8:$B$40,Tong_hop!B14,'ngoai gio_I'!$J$8:$J$40)</f>
        <v>1462500</v>
      </c>
      <c r="J14" s="83"/>
      <c r="K14" s="83">
        <f>I14-J14</f>
        <v>1462500</v>
      </c>
      <c r="L14" s="52"/>
      <c r="M14" s="44" t="s">
        <v>70</v>
      </c>
      <c r="N14" s="50">
        <f t="shared" si="1"/>
        <v>0</v>
      </c>
    </row>
    <row r="15" spans="1:14" ht="25.5" customHeight="1">
      <c r="A15" s="51">
        <f t="shared" si="2"/>
        <v>5</v>
      </c>
      <c r="B15" s="51" t="s">
        <v>79</v>
      </c>
      <c r="C15" s="86" t="s">
        <v>0</v>
      </c>
      <c r="D15" s="87" t="s">
        <v>95</v>
      </c>
      <c r="E15" s="51">
        <v>3</v>
      </c>
      <c r="F15" s="52" t="s">
        <v>39</v>
      </c>
      <c r="G15" s="81">
        <f>SUMIF('ngoai gio_I'!$B$8:$B$40,Tong_hop!B15,'ngoai gio_I'!$H$8:$H$40)</f>
        <v>25.900000000000002</v>
      </c>
      <c r="H15" s="82">
        <v>65000</v>
      </c>
      <c r="I15" s="83">
        <f>SUMIF('ngoai gio_I'!$B$8:$B$40,Tong_hop!B15,'ngoai gio_I'!$J$8:$J$40)</f>
        <v>1683500</v>
      </c>
      <c r="J15" s="83"/>
      <c r="K15" s="83">
        <f>I15-J15</f>
        <v>1683500</v>
      </c>
      <c r="L15" s="52"/>
      <c r="M15" s="44" t="s">
        <v>71</v>
      </c>
      <c r="N15" s="50">
        <f t="shared" si="1"/>
        <v>0</v>
      </c>
    </row>
    <row r="16" spans="1:14" ht="25.5" customHeight="1">
      <c r="A16" s="51">
        <f t="shared" si="2"/>
        <v>6</v>
      </c>
      <c r="B16" s="51" t="s">
        <v>80</v>
      </c>
      <c r="C16" s="86" t="s">
        <v>96</v>
      </c>
      <c r="D16" s="87" t="s">
        <v>97</v>
      </c>
      <c r="E16" s="51">
        <v>6</v>
      </c>
      <c r="F16" s="52" t="s">
        <v>98</v>
      </c>
      <c r="G16" s="81">
        <f>SUMIF('ngoai gio_I'!$B$8:$B$40,Tong_hop!B16,'ngoai gio_I'!$H$8:$H$40)</f>
        <v>36.3</v>
      </c>
      <c r="H16" s="82">
        <v>65000</v>
      </c>
      <c r="I16" s="83">
        <f>SUMIF('ngoai gio_I'!$B$8:$B$40,Tong_hop!B16,'ngoai gio_I'!$J$8:$J$40)</f>
        <v>2359500</v>
      </c>
      <c r="J16" s="83"/>
      <c r="K16" s="83">
        <f aca="true" t="shared" si="3" ref="K16:K21">I16-J16</f>
        <v>2359500</v>
      </c>
      <c r="L16" s="52"/>
      <c r="M16" s="44" t="s">
        <v>66</v>
      </c>
      <c r="N16" s="50">
        <f t="shared" si="1"/>
        <v>0</v>
      </c>
    </row>
    <row r="17" spans="1:14" ht="25.5" customHeight="1">
      <c r="A17" s="51">
        <f t="shared" si="2"/>
        <v>7</v>
      </c>
      <c r="B17" s="51" t="s">
        <v>81</v>
      </c>
      <c r="C17" s="86" t="s">
        <v>99</v>
      </c>
      <c r="D17" s="87" t="s">
        <v>100</v>
      </c>
      <c r="E17" s="51">
        <v>7</v>
      </c>
      <c r="F17" s="52" t="s">
        <v>34</v>
      </c>
      <c r="G17" s="81">
        <f>SUMIF('ngoai gio_I'!$B$8:$B$40,Tong_hop!B17,'ngoai gio_I'!$H$8:$H$40)</f>
        <v>84.7</v>
      </c>
      <c r="H17" s="82">
        <v>65000</v>
      </c>
      <c r="I17" s="83">
        <f>SUMIF('ngoai gio_I'!$B$8:$B$40,Tong_hop!B17,'ngoai gio_I'!$J$8:$J$40)</f>
        <v>5505500</v>
      </c>
      <c r="J17" s="83"/>
      <c r="K17" s="83">
        <f t="shared" si="3"/>
        <v>5505500</v>
      </c>
      <c r="L17" s="52"/>
      <c r="M17" s="44" t="s">
        <v>66</v>
      </c>
      <c r="N17" s="50">
        <f t="shared" si="1"/>
        <v>0</v>
      </c>
    </row>
    <row r="18" spans="1:14" ht="25.5" customHeight="1">
      <c r="A18" s="51">
        <f t="shared" si="2"/>
        <v>8</v>
      </c>
      <c r="B18" s="51" t="s">
        <v>82</v>
      </c>
      <c r="C18" s="86" t="s">
        <v>101</v>
      </c>
      <c r="D18" s="87" t="s">
        <v>44</v>
      </c>
      <c r="E18" s="51">
        <v>7</v>
      </c>
      <c r="F18" s="52" t="s">
        <v>34</v>
      </c>
      <c r="G18" s="81">
        <f>SUMIF('ngoai gio_I'!$B$8:$B$40,Tong_hop!B18,'ngoai gio_I'!$H$8:$H$40)</f>
        <v>47.5</v>
      </c>
      <c r="H18" s="82">
        <v>65000</v>
      </c>
      <c r="I18" s="83">
        <f>SUMIF('ngoai gio_I'!$B$8:$B$40,Tong_hop!B18,'ngoai gio_I'!$J$8:$J$40)</f>
        <v>3087500</v>
      </c>
      <c r="J18" s="83"/>
      <c r="K18" s="83">
        <f t="shared" si="3"/>
        <v>3087500</v>
      </c>
      <c r="L18" s="52"/>
      <c r="M18" s="44" t="s">
        <v>35</v>
      </c>
      <c r="N18" s="50">
        <f t="shared" si="1"/>
        <v>0</v>
      </c>
    </row>
    <row r="19" spans="1:14" ht="25.5" customHeight="1">
      <c r="A19" s="51">
        <f t="shared" si="2"/>
        <v>9</v>
      </c>
      <c r="B19" s="51" t="s">
        <v>83</v>
      </c>
      <c r="C19" s="86" t="s">
        <v>102</v>
      </c>
      <c r="D19" s="87" t="s">
        <v>103</v>
      </c>
      <c r="E19" s="51">
        <v>7</v>
      </c>
      <c r="F19" s="52" t="s">
        <v>104</v>
      </c>
      <c r="G19" s="81">
        <f>SUMIF('ngoai gio_I'!$B$8:$B$40,Tong_hop!B19,'ngoai gio_I'!$H$8:$H$40)</f>
        <v>74.4</v>
      </c>
      <c r="H19" s="82">
        <v>65000</v>
      </c>
      <c r="I19" s="83">
        <f>SUMIF('ngoai gio_I'!$B$8:$B$40,Tong_hop!B19,'ngoai gio_I'!$J$8:$J$40)</f>
        <v>4836000</v>
      </c>
      <c r="J19" s="83"/>
      <c r="K19" s="83">
        <f>I19-J19</f>
        <v>4836000</v>
      </c>
      <c r="L19" s="52"/>
      <c r="M19" s="44" t="s">
        <v>36</v>
      </c>
      <c r="N19" s="50">
        <f>(G19*H19)-I19</f>
        <v>0</v>
      </c>
    </row>
    <row r="20" spans="1:14" ht="25.5" customHeight="1">
      <c r="A20" s="51">
        <f t="shared" si="2"/>
        <v>10</v>
      </c>
      <c r="B20" s="51" t="s">
        <v>84</v>
      </c>
      <c r="C20" s="86" t="s">
        <v>105</v>
      </c>
      <c r="D20" s="87" t="s">
        <v>106</v>
      </c>
      <c r="E20" s="51">
        <v>11</v>
      </c>
      <c r="F20" s="52" t="s">
        <v>107</v>
      </c>
      <c r="G20" s="81">
        <f>SUMIF('ngoai gio_I'!$B$8:$B$40,Tong_hop!B20,'ngoai gio_I'!$H$8:$H$40)</f>
        <v>40.9</v>
      </c>
      <c r="H20" s="82">
        <v>65000</v>
      </c>
      <c r="I20" s="83">
        <f>SUMIF('ngoai gio_I'!$B$8:$B$40,Tong_hop!B20,'ngoai gio_I'!$J$8:$J$40)</f>
        <v>2658500</v>
      </c>
      <c r="J20" s="83"/>
      <c r="K20" s="83">
        <f>I20-J20</f>
        <v>2658500</v>
      </c>
      <c r="L20" s="52"/>
      <c r="M20" s="44" t="s">
        <v>36</v>
      </c>
      <c r="N20" s="50">
        <f>(G20*H20)-I20</f>
        <v>0</v>
      </c>
    </row>
    <row r="21" spans="1:14" ht="25.5" customHeight="1">
      <c r="A21" s="51">
        <f t="shared" si="2"/>
        <v>11</v>
      </c>
      <c r="B21" s="53" t="s">
        <v>85</v>
      </c>
      <c r="C21" s="89" t="s">
        <v>108</v>
      </c>
      <c r="D21" s="90" t="s">
        <v>109</v>
      </c>
      <c r="E21" s="53">
        <v>11</v>
      </c>
      <c r="F21" s="54" t="s">
        <v>110</v>
      </c>
      <c r="G21" s="91">
        <f>SUMIF('ngoai gio_I'!$B$8:$B$40,Tong_hop!B21,'ngoai gio_I'!$H$8:$H$40)</f>
        <v>35.1</v>
      </c>
      <c r="H21" s="92">
        <v>65000</v>
      </c>
      <c r="I21" s="93">
        <f>SUMIF('ngoai gio_I'!$B$8:$B$40,Tong_hop!B21,'ngoai gio_I'!$J$8:$J$40)</f>
        <v>2281500</v>
      </c>
      <c r="J21" s="93"/>
      <c r="K21" s="93">
        <f t="shared" si="3"/>
        <v>2281500</v>
      </c>
      <c r="L21" s="54"/>
      <c r="M21" s="44" t="s">
        <v>36</v>
      </c>
      <c r="N21" s="50">
        <f t="shared" si="1"/>
        <v>0</v>
      </c>
    </row>
    <row r="22" spans="1:12" ht="15" hidden="1">
      <c r="A22" s="49"/>
      <c r="B22" s="48"/>
      <c r="C22" s="49"/>
      <c r="D22" s="49"/>
      <c r="E22" s="48"/>
      <c r="F22" s="49"/>
      <c r="G22" s="49"/>
      <c r="H22" s="49"/>
      <c r="I22" s="49"/>
      <c r="J22" s="49"/>
      <c r="K22" s="49"/>
      <c r="L22" s="49"/>
    </row>
    <row r="23" spans="1:12" ht="21.75" customHeight="1">
      <c r="A23" s="95" t="s">
        <v>21</v>
      </c>
      <c r="B23" s="95"/>
      <c r="C23" s="95"/>
      <c r="D23" s="95"/>
      <c r="E23" s="95"/>
      <c r="F23" s="95"/>
      <c r="G23" s="55">
        <f>SUBTOTAL(9,G11:G22)</f>
        <v>435.9</v>
      </c>
      <c r="H23" s="54"/>
      <c r="I23" s="56">
        <f>SUBTOTAL(9,I11:I22)</f>
        <v>28333500</v>
      </c>
      <c r="J23" s="56">
        <f>SUBTOTAL(9,J11:J22)</f>
        <v>0</v>
      </c>
      <c r="K23" s="56">
        <f>SUBTOTAL(9,K11:K22)</f>
        <v>28333500</v>
      </c>
      <c r="L23" s="54"/>
    </row>
    <row r="24" spans="9:11" ht="7.5" customHeight="1">
      <c r="I24" s="57"/>
      <c r="J24" s="57"/>
      <c r="K24" s="57"/>
    </row>
    <row r="25" spans="3:12" ht="18" customHeight="1">
      <c r="C25" s="101" t="s">
        <v>25</v>
      </c>
      <c r="D25" s="101"/>
      <c r="E25" s="58" t="s">
        <v>26</v>
      </c>
      <c r="F25" s="59">
        <f>K23</f>
        <v>28333500</v>
      </c>
      <c r="G25" s="60" t="s">
        <v>27</v>
      </c>
      <c r="H25" s="61"/>
      <c r="I25" s="61"/>
      <c r="J25" s="61"/>
      <c r="K25" s="61"/>
      <c r="L25" s="61"/>
    </row>
    <row r="26" spans="3:12" ht="18" customHeight="1">
      <c r="C26" s="101" t="s">
        <v>28</v>
      </c>
      <c r="D26" s="101"/>
      <c r="E26" s="58" t="s">
        <v>26</v>
      </c>
      <c r="F26" s="102" t="str">
        <f>tien_so!C13</f>
        <v>Hai mươi tám triệu ba trăm ba mươi ba ngàn năm trăm đồng./.</v>
      </c>
      <c r="G26" s="102"/>
      <c r="H26" s="102"/>
      <c r="I26" s="102"/>
      <c r="J26" s="102"/>
      <c r="K26" s="102"/>
      <c r="L26" s="102"/>
    </row>
    <row r="28" spans="5:12" ht="15">
      <c r="E28" s="100" t="s">
        <v>61</v>
      </c>
      <c r="F28" s="100"/>
      <c r="G28" s="100"/>
      <c r="H28" s="100"/>
      <c r="I28" s="100"/>
      <c r="J28" s="100"/>
      <c r="K28" s="100"/>
      <c r="L28" s="100"/>
    </row>
    <row r="29" spans="5:12" ht="21.75" customHeight="1">
      <c r="E29" s="76">
        <v>1</v>
      </c>
      <c r="F29" s="77" t="s">
        <v>45</v>
      </c>
      <c r="G29" s="76">
        <f aca="true" t="shared" si="4" ref="G29:G44">SUMIF($E$11:$E$21,E29,$G$11:$G$21)</f>
        <v>68.6</v>
      </c>
      <c r="H29" s="77"/>
      <c r="I29" s="78">
        <f aca="true" t="shared" si="5" ref="I29:I44">SUMIF($E$11:$E$21,E29,$I$11:$I$21)</f>
        <v>4459000</v>
      </c>
      <c r="J29" s="78">
        <f aca="true" t="shared" si="6" ref="J29:J44">SUMIF($E$11:$E$21,E29,$J$11:$J$21)</f>
        <v>0</v>
      </c>
      <c r="K29" s="78">
        <f aca="true" t="shared" si="7" ref="K29:K44">SUMIF($E$11:$E$21,E29,$K$11:$K$21)</f>
        <v>4459000</v>
      </c>
      <c r="L29" s="77"/>
    </row>
    <row r="30" spans="5:12" ht="21.75" customHeight="1">
      <c r="E30" s="51">
        <v>2</v>
      </c>
      <c r="F30" s="52" t="s">
        <v>46</v>
      </c>
      <c r="G30" s="51">
        <f t="shared" si="4"/>
        <v>0</v>
      </c>
      <c r="H30" s="52"/>
      <c r="I30" s="79">
        <f t="shared" si="5"/>
        <v>0</v>
      </c>
      <c r="J30" s="79">
        <f t="shared" si="6"/>
        <v>0</v>
      </c>
      <c r="K30" s="79">
        <f t="shared" si="7"/>
        <v>0</v>
      </c>
      <c r="L30" s="52"/>
    </row>
    <row r="31" spans="5:12" ht="21.75" customHeight="1">
      <c r="E31" s="51">
        <v>3</v>
      </c>
      <c r="F31" s="52" t="s">
        <v>65</v>
      </c>
      <c r="G31" s="51">
        <f t="shared" si="4"/>
        <v>48.400000000000006</v>
      </c>
      <c r="H31" s="52"/>
      <c r="I31" s="79">
        <f t="shared" si="5"/>
        <v>3146000</v>
      </c>
      <c r="J31" s="79">
        <f t="shared" si="6"/>
        <v>0</v>
      </c>
      <c r="K31" s="79">
        <f t="shared" si="7"/>
        <v>3146000</v>
      </c>
      <c r="L31" s="52"/>
    </row>
    <row r="32" spans="5:12" ht="21.75" customHeight="1">
      <c r="E32" s="51">
        <v>4</v>
      </c>
      <c r="F32" s="52" t="s">
        <v>47</v>
      </c>
      <c r="G32" s="51">
        <f t="shared" si="4"/>
        <v>0</v>
      </c>
      <c r="H32" s="52"/>
      <c r="I32" s="79">
        <f t="shared" si="5"/>
        <v>0</v>
      </c>
      <c r="J32" s="79">
        <f t="shared" si="6"/>
        <v>0</v>
      </c>
      <c r="K32" s="79">
        <f t="shared" si="7"/>
        <v>0</v>
      </c>
      <c r="L32" s="52"/>
    </row>
    <row r="33" spans="5:12" ht="21.75" customHeight="1">
      <c r="E33" s="51">
        <v>5</v>
      </c>
      <c r="F33" s="52" t="s">
        <v>48</v>
      </c>
      <c r="G33" s="51">
        <f t="shared" si="4"/>
        <v>0</v>
      </c>
      <c r="H33" s="52"/>
      <c r="I33" s="79">
        <f t="shared" si="5"/>
        <v>0</v>
      </c>
      <c r="J33" s="79">
        <f t="shared" si="6"/>
        <v>0</v>
      </c>
      <c r="K33" s="79">
        <f t="shared" si="7"/>
        <v>0</v>
      </c>
      <c r="L33" s="52"/>
    </row>
    <row r="34" spans="5:12" ht="21.75" customHeight="1">
      <c r="E34" s="51">
        <v>6</v>
      </c>
      <c r="F34" s="52" t="s">
        <v>59</v>
      </c>
      <c r="G34" s="51">
        <f t="shared" si="4"/>
        <v>36.3</v>
      </c>
      <c r="H34" s="52"/>
      <c r="I34" s="79">
        <f t="shared" si="5"/>
        <v>2359500</v>
      </c>
      <c r="J34" s="79">
        <f t="shared" si="6"/>
        <v>0</v>
      </c>
      <c r="K34" s="79">
        <f t="shared" si="7"/>
        <v>2359500</v>
      </c>
      <c r="L34" s="52"/>
    </row>
    <row r="35" spans="5:12" ht="21.75" customHeight="1">
      <c r="E35" s="51">
        <v>7</v>
      </c>
      <c r="F35" s="52" t="s">
        <v>121</v>
      </c>
      <c r="G35" s="51">
        <f t="shared" si="4"/>
        <v>206.6</v>
      </c>
      <c r="H35" s="52"/>
      <c r="I35" s="79">
        <f t="shared" si="5"/>
        <v>13429000</v>
      </c>
      <c r="J35" s="79">
        <f t="shared" si="6"/>
        <v>0</v>
      </c>
      <c r="K35" s="79">
        <f t="shared" si="7"/>
        <v>13429000</v>
      </c>
      <c r="L35" s="52"/>
    </row>
    <row r="36" spans="5:12" ht="21.75" customHeight="1">
      <c r="E36" s="51">
        <v>8</v>
      </c>
      <c r="F36" s="52" t="s">
        <v>49</v>
      </c>
      <c r="G36" s="51">
        <f t="shared" si="4"/>
        <v>0</v>
      </c>
      <c r="H36" s="52"/>
      <c r="I36" s="79">
        <f t="shared" si="5"/>
        <v>0</v>
      </c>
      <c r="J36" s="79">
        <f t="shared" si="6"/>
        <v>0</v>
      </c>
      <c r="K36" s="79">
        <f t="shared" si="7"/>
        <v>0</v>
      </c>
      <c r="L36" s="52"/>
    </row>
    <row r="37" spans="5:12" ht="21.75" customHeight="1">
      <c r="E37" s="51">
        <v>9</v>
      </c>
      <c r="F37" s="52" t="s">
        <v>50</v>
      </c>
      <c r="G37" s="51">
        <f t="shared" si="4"/>
        <v>0</v>
      </c>
      <c r="H37" s="52"/>
      <c r="I37" s="79">
        <f t="shared" si="5"/>
        <v>0</v>
      </c>
      <c r="J37" s="79">
        <f t="shared" si="6"/>
        <v>0</v>
      </c>
      <c r="K37" s="79">
        <f t="shared" si="7"/>
        <v>0</v>
      </c>
      <c r="L37" s="52"/>
    </row>
    <row r="38" spans="5:12" ht="21.75" customHeight="1">
      <c r="E38" s="51">
        <v>10</v>
      </c>
      <c r="F38" s="52" t="s">
        <v>51</v>
      </c>
      <c r="G38" s="51">
        <f t="shared" si="4"/>
        <v>0</v>
      </c>
      <c r="H38" s="52"/>
      <c r="I38" s="79">
        <f t="shared" si="5"/>
        <v>0</v>
      </c>
      <c r="J38" s="79">
        <f t="shared" si="6"/>
        <v>0</v>
      </c>
      <c r="K38" s="79">
        <f t="shared" si="7"/>
        <v>0</v>
      </c>
      <c r="L38" s="52"/>
    </row>
    <row r="39" spans="5:12" ht="21.75" customHeight="1">
      <c r="E39" s="51">
        <v>11</v>
      </c>
      <c r="F39" s="52" t="s">
        <v>52</v>
      </c>
      <c r="G39" s="51">
        <f t="shared" si="4"/>
        <v>76</v>
      </c>
      <c r="H39" s="52"/>
      <c r="I39" s="79">
        <f t="shared" si="5"/>
        <v>4940000</v>
      </c>
      <c r="J39" s="79">
        <f t="shared" si="6"/>
        <v>0</v>
      </c>
      <c r="K39" s="79">
        <f t="shared" si="7"/>
        <v>4940000</v>
      </c>
      <c r="L39" s="52"/>
    </row>
    <row r="40" spans="5:12" ht="21.75" customHeight="1">
      <c r="E40" s="51">
        <v>12</v>
      </c>
      <c r="F40" s="52" t="s">
        <v>53</v>
      </c>
      <c r="G40" s="51">
        <f t="shared" si="4"/>
        <v>0</v>
      </c>
      <c r="H40" s="52"/>
      <c r="I40" s="79">
        <f t="shared" si="5"/>
        <v>0</v>
      </c>
      <c r="J40" s="79">
        <f t="shared" si="6"/>
        <v>0</v>
      </c>
      <c r="K40" s="79">
        <f t="shared" si="7"/>
        <v>0</v>
      </c>
      <c r="L40" s="52"/>
    </row>
    <row r="41" spans="5:12" ht="21.75" customHeight="1">
      <c r="E41" s="51">
        <v>14</v>
      </c>
      <c r="F41" s="52" t="s">
        <v>54</v>
      </c>
      <c r="G41" s="51">
        <f t="shared" si="4"/>
        <v>0</v>
      </c>
      <c r="H41" s="52"/>
      <c r="I41" s="79">
        <f t="shared" si="5"/>
        <v>0</v>
      </c>
      <c r="J41" s="79">
        <f t="shared" si="6"/>
        <v>0</v>
      </c>
      <c r="K41" s="79">
        <f t="shared" si="7"/>
        <v>0</v>
      </c>
      <c r="L41" s="52"/>
    </row>
    <row r="42" spans="5:12" ht="21.75" customHeight="1">
      <c r="E42" s="51">
        <v>23</v>
      </c>
      <c r="F42" s="52" t="s">
        <v>55</v>
      </c>
      <c r="G42" s="51">
        <f t="shared" si="4"/>
        <v>0</v>
      </c>
      <c r="H42" s="52"/>
      <c r="I42" s="79">
        <f t="shared" si="5"/>
        <v>0</v>
      </c>
      <c r="J42" s="79">
        <f t="shared" si="6"/>
        <v>0</v>
      </c>
      <c r="K42" s="79">
        <f t="shared" si="7"/>
        <v>0</v>
      </c>
      <c r="L42" s="52"/>
    </row>
    <row r="43" spans="5:12" ht="21.75" customHeight="1">
      <c r="E43" s="51">
        <v>33</v>
      </c>
      <c r="F43" s="52" t="s">
        <v>56</v>
      </c>
      <c r="G43" s="51">
        <f t="shared" si="4"/>
        <v>0</v>
      </c>
      <c r="H43" s="52"/>
      <c r="I43" s="79">
        <f t="shared" si="5"/>
        <v>0</v>
      </c>
      <c r="J43" s="79">
        <f t="shared" si="6"/>
        <v>0</v>
      </c>
      <c r="K43" s="79">
        <f t="shared" si="7"/>
        <v>0</v>
      </c>
      <c r="L43" s="52"/>
    </row>
    <row r="44" spans="5:12" ht="21.75" customHeight="1">
      <c r="E44" s="53">
        <v>51</v>
      </c>
      <c r="F44" s="54" t="s">
        <v>57</v>
      </c>
      <c r="G44" s="53">
        <f t="shared" si="4"/>
        <v>0</v>
      </c>
      <c r="H44" s="54"/>
      <c r="I44" s="80">
        <f t="shared" si="5"/>
        <v>0</v>
      </c>
      <c r="J44" s="80">
        <f t="shared" si="6"/>
        <v>0</v>
      </c>
      <c r="K44" s="80">
        <f t="shared" si="7"/>
        <v>0</v>
      </c>
      <c r="L44" s="54"/>
    </row>
    <row r="45" spans="5:12" ht="21.75" customHeight="1">
      <c r="E45" s="75"/>
      <c r="F45" s="46" t="s">
        <v>58</v>
      </c>
      <c r="G45" s="46">
        <f>SUM(G29:G44)</f>
        <v>435.9</v>
      </c>
      <c r="H45" s="46"/>
      <c r="I45" s="94">
        <f>SUM(I29:I44)</f>
        <v>28333500</v>
      </c>
      <c r="J45" s="94">
        <f>SUM(J29:J44)</f>
        <v>0</v>
      </c>
      <c r="K45" s="94">
        <f>SUM(K29:K44)</f>
        <v>28333500</v>
      </c>
      <c r="L45" s="46"/>
    </row>
  </sheetData>
  <sheetProtection/>
  <autoFilter ref="B10:L27"/>
  <mergeCells count="10">
    <mergeCell ref="E28:L28"/>
    <mergeCell ref="C26:D26"/>
    <mergeCell ref="C25:D25"/>
    <mergeCell ref="F26:L26"/>
    <mergeCell ref="A23:F23"/>
    <mergeCell ref="A1:E1"/>
    <mergeCell ref="A2:E2"/>
    <mergeCell ref="A4:L4"/>
    <mergeCell ref="A6:L6"/>
    <mergeCell ref="A5:L5"/>
  </mergeCells>
  <printOptions/>
  <pageMargins left="0.39" right="0.18" top="0.49" bottom="0.45" header="0.26" footer="0.21"/>
  <pageSetup horizontalDpi="600" verticalDpi="600" orientation="landscape" paperSize="9" scale="95" r:id="rId1"/>
  <headerFooter alignWithMargins="0">
    <oddFooter>&amp;C&amp;P/&amp;N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pane ySplit="7" topLeftCell="BM29" activePane="bottomLeft" state="frozen"/>
      <selection pane="topLeft" activeCell="A1" sqref="A1"/>
      <selection pane="bottomLeft" activeCell="A8" sqref="A8"/>
    </sheetView>
  </sheetViews>
  <sheetFormatPr defaultColWidth="9.00390625" defaultRowHeight="15.75"/>
  <cols>
    <col min="1" max="1" width="5.00390625" style="19" customWidth="1"/>
    <col min="2" max="2" width="7.00390625" style="19" customWidth="1"/>
    <col min="3" max="3" width="10.875" style="19" hidden="1" customWidth="1"/>
    <col min="4" max="4" width="15.50390625" style="20" bestFit="1" customWidth="1"/>
    <col min="5" max="5" width="7.50390625" style="20" bestFit="1" customWidth="1"/>
    <col min="6" max="6" width="4.125" style="19" customWidth="1"/>
    <col min="7" max="7" width="27.125" style="20" bestFit="1" customWidth="1"/>
    <col min="8" max="8" width="9.00390625" style="21" customWidth="1"/>
    <col min="9" max="9" width="8.125" style="19" customWidth="1"/>
    <col min="10" max="10" width="13.50390625" style="20" customWidth="1"/>
    <col min="11" max="11" width="9.25390625" style="19" bestFit="1" customWidth="1"/>
    <col min="12" max="12" width="5.375" style="19" customWidth="1"/>
    <col min="13" max="13" width="28.125" style="20" bestFit="1" customWidth="1"/>
    <col min="14" max="14" width="7.75390625" style="20" customWidth="1"/>
    <col min="15" max="16384" width="9.00390625" style="20" customWidth="1"/>
  </cols>
  <sheetData>
    <row r="1" spans="1:6" ht="15.75">
      <c r="A1" s="103" t="s">
        <v>19</v>
      </c>
      <c r="B1" s="103"/>
      <c r="C1" s="103"/>
      <c r="D1" s="103"/>
      <c r="E1" s="103"/>
      <c r="F1" s="103"/>
    </row>
    <row r="2" spans="1:6" ht="15.75">
      <c r="A2" s="105" t="s">
        <v>20</v>
      </c>
      <c r="B2" s="105"/>
      <c r="C2" s="105"/>
      <c r="D2" s="105"/>
      <c r="E2" s="105"/>
      <c r="F2" s="105"/>
    </row>
    <row r="4" spans="1:14" ht="18.75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8.75">
      <c r="A5" s="107" t="s">
        <v>123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4" customFormat="1" ht="30.75" customHeight="1">
      <c r="A7" s="109" t="s">
        <v>13</v>
      </c>
      <c r="B7" s="109" t="s">
        <v>7</v>
      </c>
      <c r="C7" s="109" t="s">
        <v>1</v>
      </c>
      <c r="D7" s="112" t="s">
        <v>8</v>
      </c>
      <c r="E7" s="113" t="s">
        <v>9</v>
      </c>
      <c r="F7" s="109" t="s">
        <v>11</v>
      </c>
      <c r="G7" s="109" t="s">
        <v>12</v>
      </c>
      <c r="H7" s="114" t="s">
        <v>14</v>
      </c>
      <c r="I7" s="109" t="s">
        <v>15</v>
      </c>
      <c r="J7" s="109" t="s">
        <v>16</v>
      </c>
      <c r="K7" s="109" t="s">
        <v>22</v>
      </c>
      <c r="L7" s="109" t="s">
        <v>18</v>
      </c>
      <c r="M7" s="109" t="s">
        <v>10</v>
      </c>
      <c r="N7" s="109" t="s">
        <v>17</v>
      </c>
    </row>
    <row r="8" spans="1:14" s="23" customFormat="1" ht="20.25" customHeight="1">
      <c r="A8" s="25">
        <v>1</v>
      </c>
      <c r="B8" s="25" t="s">
        <v>75</v>
      </c>
      <c r="C8" s="25" t="s">
        <v>60</v>
      </c>
      <c r="D8" s="62" t="s">
        <v>86</v>
      </c>
      <c r="E8" s="63" t="s">
        <v>87</v>
      </c>
      <c r="F8" s="26">
        <v>1</v>
      </c>
      <c r="G8" s="1" t="s">
        <v>88</v>
      </c>
      <c r="H8" s="27">
        <v>22.5</v>
      </c>
      <c r="I8" s="28">
        <v>65000</v>
      </c>
      <c r="J8" s="29">
        <f aca="true" t="shared" si="0" ref="J8:J39">I8*H8</f>
        <v>1462500</v>
      </c>
      <c r="K8" s="25" t="s">
        <v>111</v>
      </c>
      <c r="L8" s="25" t="s">
        <v>2</v>
      </c>
      <c r="M8" s="30" t="s">
        <v>116</v>
      </c>
      <c r="N8" s="1" t="s">
        <v>3</v>
      </c>
    </row>
    <row r="9" spans="1:14" s="23" customFormat="1" ht="20.25" customHeight="1">
      <c r="A9" s="25">
        <f>A8+1</f>
        <v>2</v>
      </c>
      <c r="B9" s="25" t="s">
        <v>75</v>
      </c>
      <c r="C9" s="25" t="s">
        <v>60</v>
      </c>
      <c r="D9" s="62" t="s">
        <v>86</v>
      </c>
      <c r="E9" s="63" t="s">
        <v>87</v>
      </c>
      <c r="F9" s="26">
        <v>1</v>
      </c>
      <c r="G9" s="1" t="s">
        <v>88</v>
      </c>
      <c r="H9" s="27">
        <v>0.3</v>
      </c>
      <c r="I9" s="28">
        <v>65000</v>
      </c>
      <c r="J9" s="29">
        <f t="shared" si="0"/>
        <v>19500</v>
      </c>
      <c r="K9" s="25" t="s">
        <v>111</v>
      </c>
      <c r="L9" s="25" t="s">
        <v>4</v>
      </c>
      <c r="M9" s="30" t="s">
        <v>116</v>
      </c>
      <c r="N9" s="1" t="s">
        <v>3</v>
      </c>
    </row>
    <row r="10" spans="1:14" s="23" customFormat="1" ht="20.25" customHeight="1">
      <c r="A10" s="25">
        <f aca="true" t="shared" si="1" ref="A10:A39">A9+1</f>
        <v>3</v>
      </c>
      <c r="B10" s="25" t="s">
        <v>75</v>
      </c>
      <c r="C10" s="25" t="s">
        <v>60</v>
      </c>
      <c r="D10" s="62" t="s">
        <v>86</v>
      </c>
      <c r="E10" s="63" t="s">
        <v>87</v>
      </c>
      <c r="F10" s="26">
        <v>1</v>
      </c>
      <c r="G10" s="1" t="s">
        <v>88</v>
      </c>
      <c r="H10" s="27">
        <v>0.8</v>
      </c>
      <c r="I10" s="28">
        <v>65000</v>
      </c>
      <c r="J10" s="29">
        <f t="shared" si="0"/>
        <v>52000</v>
      </c>
      <c r="K10" s="25" t="s">
        <v>111</v>
      </c>
      <c r="L10" s="25" t="s">
        <v>5</v>
      </c>
      <c r="M10" s="30" t="s">
        <v>116</v>
      </c>
      <c r="N10" s="1" t="s">
        <v>3</v>
      </c>
    </row>
    <row r="11" spans="1:14" s="23" customFormat="1" ht="20.25" customHeight="1">
      <c r="A11" s="25">
        <f t="shared" si="1"/>
        <v>4</v>
      </c>
      <c r="B11" s="25" t="s">
        <v>76</v>
      </c>
      <c r="C11" s="25" t="s">
        <v>60</v>
      </c>
      <c r="D11" s="62" t="s">
        <v>89</v>
      </c>
      <c r="E11" s="63" t="s">
        <v>90</v>
      </c>
      <c r="F11" s="26">
        <v>1</v>
      </c>
      <c r="G11" s="1" t="s">
        <v>91</v>
      </c>
      <c r="H11" s="27">
        <v>15</v>
      </c>
      <c r="I11" s="28">
        <v>65000</v>
      </c>
      <c r="J11" s="29">
        <f t="shared" si="0"/>
        <v>975000</v>
      </c>
      <c r="K11" s="25" t="s">
        <v>111</v>
      </c>
      <c r="L11" s="25" t="s">
        <v>2</v>
      </c>
      <c r="M11" s="30" t="s">
        <v>116</v>
      </c>
      <c r="N11" s="1" t="s">
        <v>3</v>
      </c>
    </row>
    <row r="12" spans="1:14" s="23" customFormat="1" ht="20.25" customHeight="1">
      <c r="A12" s="25">
        <f t="shared" si="1"/>
        <v>5</v>
      </c>
      <c r="B12" s="25" t="s">
        <v>76</v>
      </c>
      <c r="C12" s="25" t="s">
        <v>60</v>
      </c>
      <c r="D12" s="62" t="s">
        <v>89</v>
      </c>
      <c r="E12" s="63" t="s">
        <v>90</v>
      </c>
      <c r="F12" s="26">
        <v>1</v>
      </c>
      <c r="G12" s="1" t="s">
        <v>91</v>
      </c>
      <c r="H12" s="27">
        <v>12</v>
      </c>
      <c r="I12" s="28">
        <v>65000</v>
      </c>
      <c r="J12" s="29">
        <f t="shared" si="0"/>
        <v>780000</v>
      </c>
      <c r="K12" s="25" t="s">
        <v>111</v>
      </c>
      <c r="L12" s="25" t="s">
        <v>6</v>
      </c>
      <c r="M12" s="30" t="s">
        <v>116</v>
      </c>
      <c r="N12" s="1" t="s">
        <v>3</v>
      </c>
    </row>
    <row r="13" spans="1:14" s="23" customFormat="1" ht="20.25" customHeight="1">
      <c r="A13" s="25">
        <f t="shared" si="1"/>
        <v>6</v>
      </c>
      <c r="B13" s="25" t="s">
        <v>77</v>
      </c>
      <c r="C13" s="25" t="s">
        <v>60</v>
      </c>
      <c r="D13" s="62" t="s">
        <v>92</v>
      </c>
      <c r="E13" s="64" t="s">
        <v>93</v>
      </c>
      <c r="F13" s="26">
        <v>1</v>
      </c>
      <c r="G13" s="1" t="s">
        <v>94</v>
      </c>
      <c r="H13" s="27">
        <v>18</v>
      </c>
      <c r="I13" s="28">
        <v>65000</v>
      </c>
      <c r="J13" s="29">
        <f t="shared" si="0"/>
        <v>1170000</v>
      </c>
      <c r="K13" s="25" t="s">
        <v>111</v>
      </c>
      <c r="L13" s="25" t="s">
        <v>2</v>
      </c>
      <c r="M13" s="30" t="s">
        <v>116</v>
      </c>
      <c r="N13" s="1" t="s">
        <v>3</v>
      </c>
    </row>
    <row r="14" spans="1:14" s="23" customFormat="1" ht="20.25" customHeight="1">
      <c r="A14" s="25">
        <f t="shared" si="1"/>
        <v>7</v>
      </c>
      <c r="B14" s="25" t="s">
        <v>63</v>
      </c>
      <c r="C14" s="25" t="s">
        <v>78</v>
      </c>
      <c r="D14" s="62" t="s">
        <v>64</v>
      </c>
      <c r="E14" s="64" t="s">
        <v>72</v>
      </c>
      <c r="F14" s="26">
        <v>3</v>
      </c>
      <c r="G14" s="1" t="s">
        <v>39</v>
      </c>
      <c r="H14" s="27">
        <v>10.5</v>
      </c>
      <c r="I14" s="28">
        <v>65000</v>
      </c>
      <c r="J14" s="29">
        <f t="shared" si="0"/>
        <v>682500</v>
      </c>
      <c r="K14" s="25" t="s">
        <v>41</v>
      </c>
      <c r="L14" s="25" t="s">
        <v>6</v>
      </c>
      <c r="M14" s="30" t="s">
        <v>43</v>
      </c>
      <c r="N14" s="1" t="s">
        <v>3</v>
      </c>
    </row>
    <row r="15" spans="1:14" s="23" customFormat="1" ht="20.25" customHeight="1">
      <c r="A15" s="25">
        <f t="shared" si="1"/>
        <v>8</v>
      </c>
      <c r="B15" s="25" t="s">
        <v>63</v>
      </c>
      <c r="C15" s="25" t="s">
        <v>78</v>
      </c>
      <c r="D15" s="62" t="s">
        <v>64</v>
      </c>
      <c r="E15" s="64" t="s">
        <v>72</v>
      </c>
      <c r="F15" s="26">
        <v>3</v>
      </c>
      <c r="G15" s="1" t="s">
        <v>39</v>
      </c>
      <c r="H15" s="27">
        <v>12</v>
      </c>
      <c r="I15" s="28">
        <v>65000</v>
      </c>
      <c r="J15" s="29">
        <f t="shared" si="0"/>
        <v>780000</v>
      </c>
      <c r="K15" s="25" t="s">
        <v>41</v>
      </c>
      <c r="L15" s="25" t="s">
        <v>6</v>
      </c>
      <c r="M15" s="30" t="s">
        <v>43</v>
      </c>
      <c r="N15" s="1" t="s">
        <v>3</v>
      </c>
    </row>
    <row r="16" spans="1:14" s="23" customFormat="1" ht="20.25" customHeight="1">
      <c r="A16" s="25">
        <f t="shared" si="1"/>
        <v>9</v>
      </c>
      <c r="B16" s="25" t="s">
        <v>79</v>
      </c>
      <c r="C16" s="25" t="s">
        <v>78</v>
      </c>
      <c r="D16" s="62" t="s">
        <v>0</v>
      </c>
      <c r="E16" s="64" t="s">
        <v>95</v>
      </c>
      <c r="F16" s="26">
        <v>3</v>
      </c>
      <c r="G16" s="1" t="s">
        <v>39</v>
      </c>
      <c r="H16" s="27">
        <v>22</v>
      </c>
      <c r="I16" s="28">
        <v>65000</v>
      </c>
      <c r="J16" s="29">
        <f t="shared" si="0"/>
        <v>1430000</v>
      </c>
      <c r="K16" s="25" t="s">
        <v>41</v>
      </c>
      <c r="L16" s="25" t="s">
        <v>2</v>
      </c>
      <c r="M16" s="30" t="s">
        <v>43</v>
      </c>
      <c r="N16" s="1" t="s">
        <v>3</v>
      </c>
    </row>
    <row r="17" spans="1:14" s="23" customFormat="1" ht="20.25" customHeight="1">
      <c r="A17" s="25">
        <f t="shared" si="1"/>
        <v>10</v>
      </c>
      <c r="B17" s="25" t="s">
        <v>79</v>
      </c>
      <c r="C17" s="25" t="s">
        <v>78</v>
      </c>
      <c r="D17" s="62" t="s">
        <v>0</v>
      </c>
      <c r="E17" s="64" t="s">
        <v>95</v>
      </c>
      <c r="F17" s="26">
        <v>3</v>
      </c>
      <c r="G17" s="1" t="s">
        <v>39</v>
      </c>
      <c r="H17" s="27">
        <v>1.1</v>
      </c>
      <c r="I17" s="28">
        <v>65000</v>
      </c>
      <c r="J17" s="29">
        <f t="shared" si="0"/>
        <v>71500</v>
      </c>
      <c r="K17" s="25" t="s">
        <v>41</v>
      </c>
      <c r="L17" s="25" t="s">
        <v>4</v>
      </c>
      <c r="M17" s="30" t="s">
        <v>43</v>
      </c>
      <c r="N17" s="1" t="s">
        <v>3</v>
      </c>
    </row>
    <row r="18" spans="1:14" s="23" customFormat="1" ht="20.25" customHeight="1">
      <c r="A18" s="25">
        <f t="shared" si="1"/>
        <v>11</v>
      </c>
      <c r="B18" s="25" t="s">
        <v>79</v>
      </c>
      <c r="C18" s="25" t="s">
        <v>78</v>
      </c>
      <c r="D18" s="62" t="s">
        <v>0</v>
      </c>
      <c r="E18" s="64" t="s">
        <v>95</v>
      </c>
      <c r="F18" s="26">
        <v>3</v>
      </c>
      <c r="G18" s="1" t="s">
        <v>39</v>
      </c>
      <c r="H18" s="27">
        <v>2.8</v>
      </c>
      <c r="I18" s="28">
        <v>65000</v>
      </c>
      <c r="J18" s="29">
        <f t="shared" si="0"/>
        <v>182000</v>
      </c>
      <c r="K18" s="25" t="s">
        <v>41</v>
      </c>
      <c r="L18" s="25" t="s">
        <v>5</v>
      </c>
      <c r="M18" s="30" t="s">
        <v>43</v>
      </c>
      <c r="N18" s="1" t="s">
        <v>3</v>
      </c>
    </row>
    <row r="19" spans="1:14" s="23" customFormat="1" ht="20.25" customHeight="1">
      <c r="A19" s="25">
        <f t="shared" si="1"/>
        <v>12</v>
      </c>
      <c r="B19" s="25" t="s">
        <v>80</v>
      </c>
      <c r="C19" s="25" t="s">
        <v>78</v>
      </c>
      <c r="D19" s="62" t="s">
        <v>96</v>
      </c>
      <c r="E19" s="64" t="s">
        <v>97</v>
      </c>
      <c r="F19" s="26">
        <v>6</v>
      </c>
      <c r="G19" s="1" t="s">
        <v>98</v>
      </c>
      <c r="H19" s="27">
        <v>30</v>
      </c>
      <c r="I19" s="28">
        <v>65000</v>
      </c>
      <c r="J19" s="29">
        <f t="shared" si="0"/>
        <v>1950000</v>
      </c>
      <c r="K19" s="25" t="s">
        <v>112</v>
      </c>
      <c r="L19" s="25" t="s">
        <v>2</v>
      </c>
      <c r="M19" s="30" t="s">
        <v>117</v>
      </c>
      <c r="N19" s="1" t="s">
        <v>3</v>
      </c>
    </row>
    <row r="20" spans="1:14" s="23" customFormat="1" ht="20.25" customHeight="1">
      <c r="A20" s="25">
        <f t="shared" si="1"/>
        <v>13</v>
      </c>
      <c r="B20" s="25" t="s">
        <v>80</v>
      </c>
      <c r="C20" s="25" t="s">
        <v>78</v>
      </c>
      <c r="D20" s="62" t="s">
        <v>96</v>
      </c>
      <c r="E20" s="64" t="s">
        <v>97</v>
      </c>
      <c r="F20" s="26">
        <v>6</v>
      </c>
      <c r="G20" s="1" t="s">
        <v>98</v>
      </c>
      <c r="H20" s="27">
        <v>1.8</v>
      </c>
      <c r="I20" s="28">
        <v>65000</v>
      </c>
      <c r="J20" s="29">
        <f t="shared" si="0"/>
        <v>117000</v>
      </c>
      <c r="K20" s="25" t="s">
        <v>112</v>
      </c>
      <c r="L20" s="25" t="s">
        <v>4</v>
      </c>
      <c r="M20" s="30" t="s">
        <v>117</v>
      </c>
      <c r="N20" s="1" t="s">
        <v>3</v>
      </c>
    </row>
    <row r="21" spans="1:14" s="23" customFormat="1" ht="20.25" customHeight="1">
      <c r="A21" s="25">
        <f t="shared" si="1"/>
        <v>14</v>
      </c>
      <c r="B21" s="25" t="s">
        <v>80</v>
      </c>
      <c r="C21" s="25" t="s">
        <v>78</v>
      </c>
      <c r="D21" s="62" t="s">
        <v>96</v>
      </c>
      <c r="E21" s="64" t="s">
        <v>97</v>
      </c>
      <c r="F21" s="26">
        <v>6</v>
      </c>
      <c r="G21" s="1" t="s">
        <v>98</v>
      </c>
      <c r="H21" s="27">
        <v>4.5</v>
      </c>
      <c r="I21" s="28">
        <v>65000</v>
      </c>
      <c r="J21" s="29">
        <f t="shared" si="0"/>
        <v>292500</v>
      </c>
      <c r="K21" s="25" t="s">
        <v>112</v>
      </c>
      <c r="L21" s="25" t="s">
        <v>5</v>
      </c>
      <c r="M21" s="30" t="s">
        <v>117</v>
      </c>
      <c r="N21" s="1" t="s">
        <v>3</v>
      </c>
    </row>
    <row r="22" spans="1:14" s="23" customFormat="1" ht="20.25" customHeight="1">
      <c r="A22" s="25">
        <f t="shared" si="1"/>
        <v>15</v>
      </c>
      <c r="B22" s="25" t="s">
        <v>81</v>
      </c>
      <c r="C22" s="25" t="s">
        <v>78</v>
      </c>
      <c r="D22" s="62" t="s">
        <v>99</v>
      </c>
      <c r="E22" s="64" t="s">
        <v>100</v>
      </c>
      <c r="F22" s="26">
        <v>7</v>
      </c>
      <c r="G22" s="1" t="s">
        <v>34</v>
      </c>
      <c r="H22" s="27">
        <v>30</v>
      </c>
      <c r="I22" s="28">
        <v>65000</v>
      </c>
      <c r="J22" s="29">
        <f t="shared" si="0"/>
        <v>1950000</v>
      </c>
      <c r="K22" s="25" t="s">
        <v>67</v>
      </c>
      <c r="L22" s="25" t="s">
        <v>2</v>
      </c>
      <c r="M22" s="30" t="s">
        <v>68</v>
      </c>
      <c r="N22" s="1" t="s">
        <v>3</v>
      </c>
    </row>
    <row r="23" spans="1:14" s="23" customFormat="1" ht="20.25" customHeight="1">
      <c r="A23" s="25">
        <f t="shared" si="1"/>
        <v>16</v>
      </c>
      <c r="B23" s="25" t="s">
        <v>81</v>
      </c>
      <c r="C23" s="25" t="s">
        <v>60</v>
      </c>
      <c r="D23" s="62" t="s">
        <v>99</v>
      </c>
      <c r="E23" s="64" t="s">
        <v>100</v>
      </c>
      <c r="F23" s="26">
        <v>7</v>
      </c>
      <c r="G23" s="1" t="s">
        <v>34</v>
      </c>
      <c r="H23" s="27">
        <v>45</v>
      </c>
      <c r="I23" s="28">
        <v>65000</v>
      </c>
      <c r="J23" s="29">
        <f t="shared" si="0"/>
        <v>2925000</v>
      </c>
      <c r="K23" s="25" t="s">
        <v>40</v>
      </c>
      <c r="L23" s="25" t="s">
        <v>2</v>
      </c>
      <c r="M23" s="30" t="s">
        <v>42</v>
      </c>
      <c r="N23" s="1" t="s">
        <v>3</v>
      </c>
    </row>
    <row r="24" spans="1:14" s="23" customFormat="1" ht="20.25" customHeight="1">
      <c r="A24" s="25">
        <f t="shared" si="1"/>
        <v>17</v>
      </c>
      <c r="B24" s="25" t="s">
        <v>81</v>
      </c>
      <c r="C24" s="25" t="s">
        <v>78</v>
      </c>
      <c r="D24" s="62" t="s">
        <v>99</v>
      </c>
      <c r="E24" s="64" t="s">
        <v>100</v>
      </c>
      <c r="F24" s="26">
        <v>7</v>
      </c>
      <c r="G24" s="1" t="s">
        <v>34</v>
      </c>
      <c r="H24" s="27">
        <v>1.6</v>
      </c>
      <c r="I24" s="28">
        <v>65000</v>
      </c>
      <c r="J24" s="29">
        <f t="shared" si="0"/>
        <v>104000</v>
      </c>
      <c r="K24" s="25" t="s">
        <v>67</v>
      </c>
      <c r="L24" s="25" t="s">
        <v>4</v>
      </c>
      <c r="M24" s="30" t="s">
        <v>68</v>
      </c>
      <c r="N24" s="1" t="s">
        <v>3</v>
      </c>
    </row>
    <row r="25" spans="1:14" s="23" customFormat="1" ht="20.25" customHeight="1">
      <c r="A25" s="25">
        <f t="shared" si="1"/>
        <v>18</v>
      </c>
      <c r="B25" s="25" t="s">
        <v>81</v>
      </c>
      <c r="C25" s="25" t="s">
        <v>60</v>
      </c>
      <c r="D25" s="62" t="s">
        <v>99</v>
      </c>
      <c r="E25" s="64" t="s">
        <v>100</v>
      </c>
      <c r="F25" s="26">
        <v>7</v>
      </c>
      <c r="G25" s="1" t="s">
        <v>34</v>
      </c>
      <c r="H25" s="27">
        <v>1.2</v>
      </c>
      <c r="I25" s="28">
        <v>65000</v>
      </c>
      <c r="J25" s="29">
        <f t="shared" si="0"/>
        <v>78000</v>
      </c>
      <c r="K25" s="25" t="s">
        <v>40</v>
      </c>
      <c r="L25" s="25" t="s">
        <v>4</v>
      </c>
      <c r="M25" s="30" t="s">
        <v>42</v>
      </c>
      <c r="N25" s="1" t="s">
        <v>3</v>
      </c>
    </row>
    <row r="26" spans="1:14" s="23" customFormat="1" ht="20.25" customHeight="1">
      <c r="A26" s="25">
        <f t="shared" si="1"/>
        <v>19</v>
      </c>
      <c r="B26" s="25" t="s">
        <v>81</v>
      </c>
      <c r="C26" s="25" t="s">
        <v>78</v>
      </c>
      <c r="D26" s="62" t="s">
        <v>99</v>
      </c>
      <c r="E26" s="64" t="s">
        <v>100</v>
      </c>
      <c r="F26" s="26">
        <v>7</v>
      </c>
      <c r="G26" s="1" t="s">
        <v>34</v>
      </c>
      <c r="H26" s="27">
        <v>3.9</v>
      </c>
      <c r="I26" s="28">
        <v>65000</v>
      </c>
      <c r="J26" s="29">
        <f t="shared" si="0"/>
        <v>253500</v>
      </c>
      <c r="K26" s="25" t="s">
        <v>67</v>
      </c>
      <c r="L26" s="25" t="s">
        <v>5</v>
      </c>
      <c r="M26" s="30" t="s">
        <v>68</v>
      </c>
      <c r="N26" s="1" t="s">
        <v>3</v>
      </c>
    </row>
    <row r="27" spans="1:14" s="23" customFormat="1" ht="20.25" customHeight="1">
      <c r="A27" s="25">
        <f t="shared" si="1"/>
        <v>20</v>
      </c>
      <c r="B27" s="25" t="s">
        <v>81</v>
      </c>
      <c r="C27" s="25" t="s">
        <v>60</v>
      </c>
      <c r="D27" s="62" t="s">
        <v>99</v>
      </c>
      <c r="E27" s="64" t="s">
        <v>100</v>
      </c>
      <c r="F27" s="26">
        <v>7</v>
      </c>
      <c r="G27" s="1" t="s">
        <v>34</v>
      </c>
      <c r="H27" s="27">
        <v>3</v>
      </c>
      <c r="I27" s="28">
        <v>65000</v>
      </c>
      <c r="J27" s="29">
        <f t="shared" si="0"/>
        <v>195000</v>
      </c>
      <c r="K27" s="25" t="s">
        <v>40</v>
      </c>
      <c r="L27" s="25" t="s">
        <v>5</v>
      </c>
      <c r="M27" s="30" t="s">
        <v>42</v>
      </c>
      <c r="N27" s="1" t="s">
        <v>3</v>
      </c>
    </row>
    <row r="28" spans="1:14" s="23" customFormat="1" ht="20.25" customHeight="1">
      <c r="A28" s="25">
        <f t="shared" si="1"/>
        <v>21</v>
      </c>
      <c r="B28" s="25" t="s">
        <v>82</v>
      </c>
      <c r="C28" s="25" t="s">
        <v>78</v>
      </c>
      <c r="D28" s="62" t="s">
        <v>101</v>
      </c>
      <c r="E28" s="64" t="s">
        <v>44</v>
      </c>
      <c r="F28" s="26">
        <v>7</v>
      </c>
      <c r="G28" s="1" t="s">
        <v>34</v>
      </c>
      <c r="H28" s="27">
        <v>45</v>
      </c>
      <c r="I28" s="28">
        <v>65000</v>
      </c>
      <c r="J28" s="29">
        <f t="shared" si="0"/>
        <v>2925000</v>
      </c>
      <c r="K28" s="25" t="s">
        <v>40</v>
      </c>
      <c r="L28" s="25" t="s">
        <v>2</v>
      </c>
      <c r="M28" s="30" t="s">
        <v>42</v>
      </c>
      <c r="N28" s="1" t="s">
        <v>3</v>
      </c>
    </row>
    <row r="29" spans="1:14" s="23" customFormat="1" ht="20.25" customHeight="1">
      <c r="A29" s="25">
        <f t="shared" si="1"/>
        <v>22</v>
      </c>
      <c r="B29" s="25" t="s">
        <v>82</v>
      </c>
      <c r="C29" s="25" t="s">
        <v>78</v>
      </c>
      <c r="D29" s="62" t="s">
        <v>101</v>
      </c>
      <c r="E29" s="64" t="s">
        <v>44</v>
      </c>
      <c r="F29" s="26">
        <v>7</v>
      </c>
      <c r="G29" s="1" t="s">
        <v>34</v>
      </c>
      <c r="H29" s="27">
        <v>0.7</v>
      </c>
      <c r="I29" s="28">
        <v>65000</v>
      </c>
      <c r="J29" s="29">
        <f t="shared" si="0"/>
        <v>45500</v>
      </c>
      <c r="K29" s="25" t="s">
        <v>40</v>
      </c>
      <c r="L29" s="25" t="s">
        <v>4</v>
      </c>
      <c r="M29" s="30" t="s">
        <v>42</v>
      </c>
      <c r="N29" s="1" t="s">
        <v>3</v>
      </c>
    </row>
    <row r="30" spans="1:14" s="23" customFormat="1" ht="20.25" customHeight="1">
      <c r="A30" s="25">
        <f t="shared" si="1"/>
        <v>23</v>
      </c>
      <c r="B30" s="25" t="s">
        <v>82</v>
      </c>
      <c r="C30" s="25" t="s">
        <v>78</v>
      </c>
      <c r="D30" s="62" t="s">
        <v>101</v>
      </c>
      <c r="E30" s="64" t="s">
        <v>44</v>
      </c>
      <c r="F30" s="26">
        <v>7</v>
      </c>
      <c r="G30" s="1" t="s">
        <v>34</v>
      </c>
      <c r="H30" s="27">
        <v>1.8</v>
      </c>
      <c r="I30" s="28">
        <v>65000</v>
      </c>
      <c r="J30" s="29">
        <f t="shared" si="0"/>
        <v>117000</v>
      </c>
      <c r="K30" s="25" t="s">
        <v>40</v>
      </c>
      <c r="L30" s="25" t="s">
        <v>5</v>
      </c>
      <c r="M30" s="30" t="s">
        <v>42</v>
      </c>
      <c r="N30" s="1" t="s">
        <v>3</v>
      </c>
    </row>
    <row r="31" spans="1:14" s="23" customFormat="1" ht="20.25" customHeight="1">
      <c r="A31" s="25">
        <f t="shared" si="1"/>
        <v>24</v>
      </c>
      <c r="B31" s="25" t="s">
        <v>83</v>
      </c>
      <c r="C31" s="25" t="s">
        <v>60</v>
      </c>
      <c r="D31" s="62" t="s">
        <v>102</v>
      </c>
      <c r="E31" s="64" t="s">
        <v>103</v>
      </c>
      <c r="F31" s="26">
        <v>7</v>
      </c>
      <c r="G31" s="1" t="s">
        <v>104</v>
      </c>
      <c r="H31" s="27">
        <v>67.5</v>
      </c>
      <c r="I31" s="28">
        <v>65000</v>
      </c>
      <c r="J31" s="29">
        <f t="shared" si="0"/>
        <v>4387500</v>
      </c>
      <c r="K31" s="25" t="s">
        <v>113</v>
      </c>
      <c r="L31" s="25" t="s">
        <v>2</v>
      </c>
      <c r="M31" s="30" t="s">
        <v>118</v>
      </c>
      <c r="N31" s="1" t="s">
        <v>3</v>
      </c>
    </row>
    <row r="32" spans="1:14" s="23" customFormat="1" ht="20.25" customHeight="1">
      <c r="A32" s="25">
        <f t="shared" si="1"/>
        <v>25</v>
      </c>
      <c r="B32" s="25" t="s">
        <v>83</v>
      </c>
      <c r="C32" s="25" t="s">
        <v>60</v>
      </c>
      <c r="D32" s="62" t="s">
        <v>102</v>
      </c>
      <c r="E32" s="64" t="s">
        <v>103</v>
      </c>
      <c r="F32" s="26">
        <v>7</v>
      </c>
      <c r="G32" s="1" t="s">
        <v>104</v>
      </c>
      <c r="H32" s="27">
        <v>2</v>
      </c>
      <c r="I32" s="28">
        <v>65000</v>
      </c>
      <c r="J32" s="29">
        <f t="shared" si="0"/>
        <v>130000</v>
      </c>
      <c r="K32" s="25" t="s">
        <v>113</v>
      </c>
      <c r="L32" s="25" t="s">
        <v>4</v>
      </c>
      <c r="M32" s="30" t="s">
        <v>118</v>
      </c>
      <c r="N32" s="1" t="s">
        <v>3</v>
      </c>
    </row>
    <row r="33" spans="1:14" s="23" customFormat="1" ht="20.25" customHeight="1">
      <c r="A33" s="25">
        <f t="shared" si="1"/>
        <v>26</v>
      </c>
      <c r="B33" s="25" t="s">
        <v>83</v>
      </c>
      <c r="C33" s="25" t="s">
        <v>60</v>
      </c>
      <c r="D33" s="62" t="s">
        <v>102</v>
      </c>
      <c r="E33" s="64" t="s">
        <v>103</v>
      </c>
      <c r="F33" s="26">
        <v>7</v>
      </c>
      <c r="G33" s="1" t="s">
        <v>104</v>
      </c>
      <c r="H33" s="27">
        <v>4.9</v>
      </c>
      <c r="I33" s="28">
        <v>65000</v>
      </c>
      <c r="J33" s="29">
        <f t="shared" si="0"/>
        <v>318500</v>
      </c>
      <c r="K33" s="25" t="s">
        <v>113</v>
      </c>
      <c r="L33" s="25" t="s">
        <v>5</v>
      </c>
      <c r="M33" s="30" t="s">
        <v>118</v>
      </c>
      <c r="N33" s="1" t="s">
        <v>3</v>
      </c>
    </row>
    <row r="34" spans="1:14" s="23" customFormat="1" ht="20.25" customHeight="1">
      <c r="A34" s="25">
        <f t="shared" si="1"/>
        <v>27</v>
      </c>
      <c r="B34" s="25" t="s">
        <v>84</v>
      </c>
      <c r="C34" s="25" t="s">
        <v>78</v>
      </c>
      <c r="D34" s="62" t="s">
        <v>105</v>
      </c>
      <c r="E34" s="64" t="s">
        <v>106</v>
      </c>
      <c r="F34" s="26">
        <v>11</v>
      </c>
      <c r="G34" s="1" t="s">
        <v>107</v>
      </c>
      <c r="H34" s="27">
        <v>30</v>
      </c>
      <c r="I34" s="28">
        <v>65000</v>
      </c>
      <c r="J34" s="29">
        <f t="shared" si="0"/>
        <v>1950000</v>
      </c>
      <c r="K34" s="25" t="s">
        <v>114</v>
      </c>
      <c r="L34" s="25" t="s">
        <v>2</v>
      </c>
      <c r="M34" s="30" t="s">
        <v>119</v>
      </c>
      <c r="N34" s="1" t="s">
        <v>3</v>
      </c>
    </row>
    <row r="35" spans="1:14" s="23" customFormat="1" ht="20.25" customHeight="1">
      <c r="A35" s="25">
        <f t="shared" si="1"/>
        <v>28</v>
      </c>
      <c r="B35" s="25" t="s">
        <v>84</v>
      </c>
      <c r="C35" s="25" t="s">
        <v>78</v>
      </c>
      <c r="D35" s="62" t="s">
        <v>105</v>
      </c>
      <c r="E35" s="63" t="s">
        <v>106</v>
      </c>
      <c r="F35" s="26">
        <v>11</v>
      </c>
      <c r="G35" s="1" t="s">
        <v>107</v>
      </c>
      <c r="H35" s="27">
        <v>3.1</v>
      </c>
      <c r="I35" s="28">
        <v>65000</v>
      </c>
      <c r="J35" s="29">
        <f t="shared" si="0"/>
        <v>201500</v>
      </c>
      <c r="K35" s="25" t="s">
        <v>114</v>
      </c>
      <c r="L35" s="25" t="s">
        <v>4</v>
      </c>
      <c r="M35" s="30" t="s">
        <v>119</v>
      </c>
      <c r="N35" s="1" t="s">
        <v>3</v>
      </c>
    </row>
    <row r="36" spans="1:14" s="23" customFormat="1" ht="20.25" customHeight="1">
      <c r="A36" s="25">
        <f t="shared" si="1"/>
        <v>29</v>
      </c>
      <c r="B36" s="25" t="s">
        <v>84</v>
      </c>
      <c r="C36" s="25" t="s">
        <v>78</v>
      </c>
      <c r="D36" s="62" t="s">
        <v>105</v>
      </c>
      <c r="E36" s="63" t="s">
        <v>106</v>
      </c>
      <c r="F36" s="26">
        <v>11</v>
      </c>
      <c r="G36" s="1" t="s">
        <v>107</v>
      </c>
      <c r="H36" s="27">
        <v>7.8</v>
      </c>
      <c r="I36" s="28">
        <v>65000</v>
      </c>
      <c r="J36" s="29">
        <f t="shared" si="0"/>
        <v>507000</v>
      </c>
      <c r="K36" s="25" t="s">
        <v>114</v>
      </c>
      <c r="L36" s="25" t="s">
        <v>5</v>
      </c>
      <c r="M36" s="30" t="s">
        <v>119</v>
      </c>
      <c r="N36" s="1" t="s">
        <v>3</v>
      </c>
    </row>
    <row r="37" spans="1:14" s="23" customFormat="1" ht="20.25" customHeight="1">
      <c r="A37" s="25">
        <f t="shared" si="1"/>
        <v>30</v>
      </c>
      <c r="B37" s="25" t="s">
        <v>85</v>
      </c>
      <c r="C37" s="25" t="s">
        <v>78</v>
      </c>
      <c r="D37" s="62" t="s">
        <v>108</v>
      </c>
      <c r="E37" s="63" t="s">
        <v>109</v>
      </c>
      <c r="F37" s="26">
        <v>11</v>
      </c>
      <c r="G37" s="1" t="s">
        <v>110</v>
      </c>
      <c r="H37" s="27">
        <v>30</v>
      </c>
      <c r="I37" s="28">
        <v>65000</v>
      </c>
      <c r="J37" s="29">
        <f t="shared" si="0"/>
        <v>1950000</v>
      </c>
      <c r="K37" s="25" t="s">
        <v>115</v>
      </c>
      <c r="L37" s="25" t="s">
        <v>2</v>
      </c>
      <c r="M37" s="30" t="s">
        <v>120</v>
      </c>
      <c r="N37" s="1" t="s">
        <v>3</v>
      </c>
    </row>
    <row r="38" spans="1:14" s="23" customFormat="1" ht="20.25" customHeight="1">
      <c r="A38" s="25">
        <f t="shared" si="1"/>
        <v>31</v>
      </c>
      <c r="B38" s="25" t="s">
        <v>85</v>
      </c>
      <c r="C38" s="25" t="s">
        <v>78</v>
      </c>
      <c r="D38" s="62" t="s">
        <v>108</v>
      </c>
      <c r="E38" s="63" t="s">
        <v>109</v>
      </c>
      <c r="F38" s="26">
        <v>11</v>
      </c>
      <c r="G38" s="1" t="s">
        <v>110</v>
      </c>
      <c r="H38" s="27">
        <v>1.5</v>
      </c>
      <c r="I38" s="28">
        <v>65000</v>
      </c>
      <c r="J38" s="29">
        <f t="shared" si="0"/>
        <v>97500</v>
      </c>
      <c r="K38" s="25" t="s">
        <v>115</v>
      </c>
      <c r="L38" s="25" t="s">
        <v>4</v>
      </c>
      <c r="M38" s="30" t="s">
        <v>120</v>
      </c>
      <c r="N38" s="1" t="s">
        <v>3</v>
      </c>
    </row>
    <row r="39" spans="1:14" s="23" customFormat="1" ht="20.25" customHeight="1">
      <c r="A39" s="25">
        <f t="shared" si="1"/>
        <v>32</v>
      </c>
      <c r="B39" s="25" t="s">
        <v>85</v>
      </c>
      <c r="C39" s="25" t="s">
        <v>78</v>
      </c>
      <c r="D39" s="62" t="s">
        <v>108</v>
      </c>
      <c r="E39" s="63" t="s">
        <v>109</v>
      </c>
      <c r="F39" s="26">
        <v>11</v>
      </c>
      <c r="G39" s="1" t="s">
        <v>110</v>
      </c>
      <c r="H39" s="27">
        <v>3.6</v>
      </c>
      <c r="I39" s="28">
        <v>65000</v>
      </c>
      <c r="J39" s="29">
        <f t="shared" si="0"/>
        <v>234000</v>
      </c>
      <c r="K39" s="25" t="s">
        <v>115</v>
      </c>
      <c r="L39" s="25" t="s">
        <v>5</v>
      </c>
      <c r="M39" s="30" t="s">
        <v>120</v>
      </c>
      <c r="N39" s="1" t="s">
        <v>3</v>
      </c>
    </row>
    <row r="40" spans="1:14" s="23" customFormat="1" ht="18" customHeight="1" hidden="1">
      <c r="A40" s="66"/>
      <c r="B40" s="66"/>
      <c r="C40" s="66"/>
      <c r="D40" s="68"/>
      <c r="E40" s="69"/>
      <c r="F40" s="70"/>
      <c r="G40" s="67"/>
      <c r="H40" s="71"/>
      <c r="I40" s="72"/>
      <c r="J40" s="73"/>
      <c r="K40" s="66"/>
      <c r="L40" s="66"/>
      <c r="M40" s="74"/>
      <c r="N40" s="67"/>
    </row>
    <row r="41" spans="1:14" ht="15.75">
      <c r="A41" s="31"/>
      <c r="B41" s="31"/>
      <c r="C41" s="31"/>
      <c r="D41" s="33"/>
      <c r="E41" s="34"/>
      <c r="F41" s="31"/>
      <c r="G41" s="35" t="s">
        <v>21</v>
      </c>
      <c r="H41" s="40">
        <f>SUBTOTAL(9,H8:H40)</f>
        <v>435.90000000000003</v>
      </c>
      <c r="I41" s="31"/>
      <c r="J41" s="36">
        <f>SUBTOTAL(9,J8:J40)</f>
        <v>28333500</v>
      </c>
      <c r="K41" s="31"/>
      <c r="L41" s="31"/>
      <c r="M41" s="32"/>
      <c r="N41" s="32"/>
    </row>
    <row r="42" ht="15.75" hidden="1"/>
    <row r="43" spans="4:8" ht="20.25" customHeight="1">
      <c r="D43" s="103" t="s">
        <v>25</v>
      </c>
      <c r="E43" s="103"/>
      <c r="F43" s="19" t="s">
        <v>26</v>
      </c>
      <c r="G43" s="37">
        <f>J41</f>
        <v>28333500</v>
      </c>
      <c r="H43" s="38" t="s">
        <v>27</v>
      </c>
    </row>
    <row r="44" spans="4:11" ht="20.25" customHeight="1">
      <c r="D44" s="103" t="s">
        <v>28</v>
      </c>
      <c r="E44" s="103"/>
      <c r="F44" s="19" t="s">
        <v>26</v>
      </c>
      <c r="G44" s="104" t="str">
        <f>tien_so!C6</f>
        <v>Hai mươi tám triệu ba trăm ba mươi ba ngàn năm trăm đồng./.</v>
      </c>
      <c r="H44" s="104"/>
      <c r="I44" s="104"/>
      <c r="J44" s="104"/>
      <c r="K44" s="104"/>
    </row>
    <row r="45" spans="4:11" ht="13.5" customHeight="1">
      <c r="D45" s="19"/>
      <c r="E45" s="19"/>
      <c r="G45" s="39"/>
      <c r="H45" s="39"/>
      <c r="I45" s="39"/>
      <c r="J45" s="39"/>
      <c r="K45" s="39"/>
    </row>
    <row r="46" ht="15.75">
      <c r="J46" s="65"/>
    </row>
  </sheetData>
  <sheetProtection/>
  <autoFilter ref="A7:N50"/>
  <mergeCells count="7">
    <mergeCell ref="D43:E43"/>
    <mergeCell ref="D44:E44"/>
    <mergeCell ref="G44:K44"/>
    <mergeCell ref="A1:F1"/>
    <mergeCell ref="A2:F2"/>
    <mergeCell ref="A4:N4"/>
    <mergeCell ref="A5:N5"/>
  </mergeCells>
  <printOptions/>
  <pageMargins left="0.32" right="0.22" top="0.38" bottom="0.49" header="0.22" footer="0.22"/>
  <pageSetup horizontalDpi="600" verticalDpi="600" orientation="landscape" paperSize="9" scale="8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2024-01-19T08:59:01Z</cp:lastPrinted>
  <dcterms:created xsi:type="dcterms:W3CDTF">2017-08-11T04:19:01Z</dcterms:created>
  <dcterms:modified xsi:type="dcterms:W3CDTF">2024-01-20T02:14:22Z</dcterms:modified>
  <cp:category/>
  <cp:version/>
  <cp:contentType/>
  <cp:contentStatus/>
</cp:coreProperties>
</file>